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<sst xmlns="http://schemas.openxmlformats.org/spreadsheetml/2006/main" count="528" uniqueCount="357">
  <si>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</si>
  <si>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</si>
  <si>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</si>
  <si>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</si>
  <si>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</si>
  <si>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</si>
  <si>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</si>
  <si>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</si>
  <si>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</si>
  <si>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</si>
  <si>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</si>
  <si>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</si>
  <si>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</si>
  <si>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</si>
  <si>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</si>
  <si>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</si>
  <si>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</si>
  <si>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</si>
  <si>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</si>
  <si>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</si>
  <si>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</si>
  <si>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</si>
  <si>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</si>
  <si>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</si>
  <si>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</si>
  <si>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</si>
  <si>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</si>
  <si>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</si>
  <si>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</si>
  <si>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</si>
  <si>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</si>
  <si>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</si>
  <si>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</si>
  <si>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</si>
  <si>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</si>
  <si>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</si>
  <si>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</si>
  <si>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</si>
  <si>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</si>
  <si>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</si>
  <si>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</si>
  <si>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</si>
  <si>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</si>
  <si>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</si>
  <si>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</si>
  <si>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</si>
  <si>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</si>
  <si>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</si>
  <si>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</si>
  <si>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</si>
  <si>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</si>
  <si>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</si>
  <si>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</si>
  <si>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</si>
  <si>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</si>
  <si>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</si>
  <si>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</si>
  <si>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</si>
  <si>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</si>
  <si>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</si>
  <si>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</si>
  <si>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</si>
  <si>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</si>
  <si>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</si>
  <si>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</si>
  <si>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</si>
  <si>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</si>
  <si>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</si>
  <si>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</si>
  <si>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</si>
  <si>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</si>
  <si>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</si>
  <si>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</si>
  <si>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</si>
  <si>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</si>
  <si>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</si>
  <si>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</si>
  <si>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</si>
  <si>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</si>
  <si>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</si>
  <si>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</si>
  <si>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</si>
  <si>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</si>
  <si>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</si>
  <si>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</si>
  <si>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</si>
  <si>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</si>
  <si>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</si>
  <si>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</si>
  <si>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</si>
  <si>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</si>
  <si>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</si>
  <si>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</si>
  <si>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</si>
  <si>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</si>
  <si>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</si>
  <si>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</si>
  <si>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</si>
  <si>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</si>
  <si>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</si>
  <si>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</si>
  <si>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</si>
  <si>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</si>
  <si>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</si>
  <si>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</si>
  <si>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</si>
  <si>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</si>
  <si>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</si>
  <si>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</si>
  <si>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</si>
  <si>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</si>
  <si>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</si>
  <si>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</si>
  <si>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</si>
  <si>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</si>
  <si>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</si>
  <si>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</si>
  <si>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</si>
  <si>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</si>
  <si>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</si>
  <si>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</si>
  <si>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</si>
  <si>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</si>
  <si>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</si>
  <si>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</si>
  <si>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</si>
  <si>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</si>
  <si>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</si>
  <si>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</si>
  <si>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</si>
  <si>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</si>
  <si>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</si>
  <si>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</si>
  <si>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</si>
  <si>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</si>
  <si>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</si>
  <si>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</si>
  <si>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</si>
  <si>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</si>
  <si>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</si>
  <si>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</si>
  <si>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</si>
  <si>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</si>
  <si>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</si>
  <si>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</si>
  <si>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</si>
  <si>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</si>
  <si>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</si>
  <si>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</si>
  <si>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</si>
  <si>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</si>
  <si>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</si>
  <si>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</si>
  <si>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</si>
  <si>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</si>
  <si>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</si>
  <si>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</si>
  <si>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</si>
  <si>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</si>
  <si>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</si>
  <si>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</si>
  <si>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</si>
  <si>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</si>
  <si>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</si>
  <si>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</si>
  <si>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</si>
  <si>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</si>
  <si>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</si>
  <si>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</si>
  <si>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</si>
  <si>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</si>
  <si>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</si>
  <si>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</si>
  <si>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</si>
  <si>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</si>
  <si>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</si>
  <si>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</si>
  <si>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</si>
  <si>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</si>
  <si>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</si>
  <si>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</si>
  <si>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</si>
  <si>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</si>
  <si>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</si>
  <si>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</si>
  <si>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</si>
  <si>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</si>
  <si>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</si>
  <si>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</si>
  <si>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</si>
  <si>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</si>
  <si>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</si>
  <si>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</si>
  <si>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</si>
  <si>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</si>
  <si>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</si>
  <si>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</si>
  <si>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</si>
  <si>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</si>
  <si>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</si>
  <si>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</si>
  <si>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</si>
  <si>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</si>
  <si>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</si>
  <si>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</si>
  <si>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</si>
  <si>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</si>
  <si>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</si>
  <si>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</si>
  <si>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</si>
  <si>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</si>
  <si>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</si>
  <si>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</si>
  <si>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</si>
  <si>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</si>
  <si>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</si>
  <si>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</si>
  <si>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</si>
  <si>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</si>
  <si>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</si>
  <si>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</si>
  <si>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</si>
  <si>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</si>
  <si>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</si>
  <si>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</si>
  <si>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</si>
  <si>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</si>
  <si>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</si>
  <si>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</si>
  <si>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</si>
  <si>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</si>
  <si>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</si>
  <si>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</si>
  <si>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</si>
  <si>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</si>
  <si>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</si>
  <si>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</si>
  <si>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</si>
  <si>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</si>
  <si>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</si>
  <si>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</si>
  <si>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</si>
  <si>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</si>
  <si>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</si>
  <si>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</si>
  <si>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</si>
  <si>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</si>
  <si>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</si>
  <si>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</si>
  <si>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</si>
  <si>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</si>
  <si>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</si>
  <si>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</si>
  <si>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</si>
  <si>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</si>
  <si>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</si>
  <si>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</si>
  <si>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</si>
  <si>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</si>
  <si>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</si>
  <si>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</si>
  <si>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</si>
  <si>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</si>
  <si>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</si>
  <si>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</si>
  <si>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</si>
  <si>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</si>
  <si>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</si>
  <si>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</si>
  <si>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</si>
  <si>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</si>
  <si>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</si>
  <si>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</si>
  <si>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</si>
  <si>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</si>
  <si>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</si>
  <si>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</si>
  <si>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</si>
  <si>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</si>
  <si>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</si>
  <si>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</si>
  <si>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</si>
  <si>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</si>
  <si>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</si>
  <si>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</si>
  <si>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</si>
  <si>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</si>
  <si>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</si>
  <si>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</si>
  <si>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</si>
  <si>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</si>
  <si>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</si>
  <si>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</si>
  <si>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</si>
  <si>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</si>
  <si>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</si>
  <si>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</si>
  <si>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</si>
  <si>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</si>
  <si>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</si>
  <si>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</si>
  <si>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</si>
  <si>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</si>
  <si>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</si>
  <si>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</si>
  <si>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</si>
  <si>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</si>
  <si>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</si>
  <si>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</si>
  <si>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</si>
  <si>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</si>
  <si>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</si>
  <si>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</si>
  <si>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</si>
  <si>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</si>
  <si>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</si>
  <si>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</si>
  <si>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</si>
  <si>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</si>
  <si>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</si>
  <si>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</si>
  <si>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</si>
  <si>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</si>
  <si>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</si>
  <si>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</si>
  <si>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</si>
  <si>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</si>
  <si>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</si>
  <si>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</si>
  <si>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</si>
  <si>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</si>
  <si>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</si>
  <si>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</si>
  <si>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</si>
  <si>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</si>
  <si>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</si>
  <si>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</si>
  <si>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</si>
  <si>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</si>
  <si>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</si>
  <si>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</si>
  <si>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</si>
  <si>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</si>
  <si>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</si>
  <si>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</si>
  <si>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</si>
  <si>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</si>
  <si>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</si>
  <si>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</si>
  <si>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</si>
  <si>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</si>
  <si>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</si>
  <si>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</si>
  <si>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</si>
  <si>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06141/4141</t>
  </si>
  <si>
    <t>obshtina_pt@abv.bg</t>
  </si>
  <si>
    <t>http://www.trambesh.eu/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</si>
</sst>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27" borderId="2" applyNumberFormat="0" applyAlignment="0" applyProtection="0"/>
    <xf numFmtId="0" fontId="125" fillId="28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3" applyNumberFormat="0" applyFill="0" applyAlignment="0" applyProtection="0"/>
    <xf numFmtId="0" fontId="128" fillId="0" borderId="4" applyNumberFormat="0" applyFill="0" applyAlignment="0" applyProtection="0"/>
    <xf numFmtId="0" fontId="129" fillId="0" borderId="5" applyNumberFormat="0" applyFill="0" applyAlignment="0" applyProtection="0"/>
    <xf numFmtId="0" fontId="1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0" fillId="29" borderId="6" applyNumberFormat="0" applyAlignment="0" applyProtection="0"/>
    <xf numFmtId="0" fontId="131" fillId="29" borderId="2" applyNumberFormat="0" applyAlignment="0" applyProtection="0"/>
    <xf numFmtId="0" fontId="132" fillId="30" borderId="7" applyNumberFormat="0" applyAlignment="0" applyProtection="0"/>
    <xf numFmtId="0" fontId="133" fillId="31" borderId="0" applyNumberFormat="0" applyBorder="0" applyAlignment="0" applyProtection="0"/>
    <xf numFmtId="0" fontId="134" fillId="32" borderId="0" applyNumberFormat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8" fillId="0" borderId="8" applyNumberFormat="0" applyFill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66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1" fillId="26" borderId="0" xfId="38" applyFont="1" applyFill="1" applyAlignment="1" applyProtection="1">
      <alignment horizontal="right"/>
      <protection/>
    </xf>
    <xf numFmtId="0" fontId="142" fillId="26" borderId="0" xfId="38" applyFont="1" applyFill="1" applyBorder="1" applyAlignment="1" applyProtection="1">
      <alignment horizontal="center"/>
      <protection/>
    </xf>
    <xf numFmtId="166" fontId="143" fillId="26" borderId="0" xfId="40" applyNumberFormat="1" applyFont="1" applyFill="1" applyAlignment="1" applyProtection="1">
      <alignment/>
      <protection/>
    </xf>
    <xf numFmtId="0" fontId="141" fillId="26" borderId="0" xfId="33" applyFont="1" applyFill="1" applyAlignment="1" applyProtection="1" quotePrefix="1">
      <alignment/>
      <protection/>
    </xf>
    <xf numFmtId="0" fontId="143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65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5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19" fillId="37" borderId="0" xfId="33" applyFont="1" applyFill="1" applyProtection="1">
      <alignment/>
      <protection/>
    </xf>
    <xf numFmtId="0" fontId="20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>
      <alignment vertical="center"/>
      <protection/>
    </xf>
    <xf numFmtId="0" fontId="19" fillId="37" borderId="0" xfId="33" applyFont="1" applyFill="1" applyBorder="1" applyAlignment="1" applyProtection="1">
      <alignment vertical="center"/>
      <protection/>
    </xf>
    <xf numFmtId="0" fontId="20" fillId="37" borderId="0" xfId="33" applyFont="1" applyFill="1" applyBorder="1" applyAlignment="1">
      <alignment horizontal="center" vertical="center"/>
      <protection/>
    </xf>
    <xf numFmtId="4" fontId="19" fillId="37" borderId="0" xfId="33" applyNumberFormat="1" applyFont="1" applyFill="1" applyAlignment="1" applyProtection="1">
      <alignment vertical="center"/>
      <protection/>
    </xf>
    <xf numFmtId="4" fontId="19" fillId="0" borderId="0" xfId="33" applyNumberFormat="1" applyFont="1" applyFill="1" applyAlignment="1" applyProtection="1">
      <alignment vertical="center"/>
      <protection/>
    </xf>
    <xf numFmtId="0" fontId="19" fillId="0" borderId="0" xfId="33" applyFont="1" applyFill="1" applyBorder="1" applyAlignment="1" applyProtection="1">
      <alignment vertical="center"/>
      <protection/>
    </xf>
    <xf numFmtId="0" fontId="19" fillId="0" borderId="0" xfId="33" applyFont="1" applyFill="1" applyProtection="1">
      <alignment/>
      <protection/>
    </xf>
    <xf numFmtId="0" fontId="20" fillId="0" borderId="0" xfId="33" applyFont="1" applyFill="1" applyBorder="1" applyAlignment="1" applyProtection="1">
      <alignment horizontal="center" vertical="center"/>
      <protection/>
    </xf>
    <xf numFmtId="0" fontId="19" fillId="37" borderId="0" xfId="33" applyFont="1" applyFill="1">
      <alignment/>
      <protection/>
    </xf>
    <xf numFmtId="0" fontId="19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67" fontId="8" fillId="38" borderId="0" xfId="33" applyNumberFormat="1" applyFont="1" applyFill="1" applyBorder="1" applyAlignment="1">
      <alignment horizontal="right"/>
      <protection/>
    </xf>
    <xf numFmtId="0" fontId="21" fillId="38" borderId="0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143" fillId="38" borderId="0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22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44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3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73" fontId="145" fillId="39" borderId="22" xfId="0" applyNumberFormat="1" applyFont="1" applyFill="1" applyBorder="1" applyAlignment="1" applyProtection="1" quotePrefix="1">
      <alignment horizontal="center"/>
      <protection/>
    </xf>
    <xf numFmtId="172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47" fillId="26" borderId="0" xfId="0" applyFont="1" applyFill="1" applyBorder="1" applyAlignment="1" applyProtection="1">
      <alignment/>
      <protection/>
    </xf>
    <xf numFmtId="0" fontId="9" fillId="38" borderId="24" xfId="33" applyFont="1" applyFill="1" applyBorder="1">
      <alignment/>
      <protection/>
    </xf>
    <xf numFmtId="167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5" xfId="33" applyFont="1" applyFill="1" applyBorder="1">
      <alignment/>
      <protection/>
    </xf>
    <xf numFmtId="0" fontId="141" fillId="40" borderId="26" xfId="33" applyFont="1" applyFill="1" applyBorder="1">
      <alignment/>
      <protection/>
    </xf>
    <xf numFmtId="0" fontId="143" fillId="40" borderId="27" xfId="33" applyFont="1" applyFill="1" applyBorder="1">
      <alignment/>
      <protection/>
    </xf>
    <xf numFmtId="0" fontId="143" fillId="40" borderId="28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8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40" applyNumberFormat="1" applyFont="1" applyFill="1" applyAlignment="1" applyProtection="1">
      <alignment/>
      <protection/>
    </xf>
    <xf numFmtId="174" fontId="14" fillId="37" borderId="0" xfId="39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49" fillId="41" borderId="22" xfId="0" applyNumberFormat="1" applyFont="1" applyFill="1" applyBorder="1" applyAlignment="1" applyProtection="1" quotePrefix="1">
      <alignment horizontal="center"/>
      <protection/>
    </xf>
    <xf numFmtId="172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0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26" borderId="29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4" fillId="26" borderId="30" xfId="0" applyNumberFormat="1" applyFont="1" applyFill="1" applyBorder="1" applyAlignment="1" applyProtection="1">
      <alignment horizontal="center"/>
      <protection/>
    </xf>
    <xf numFmtId="166" fontId="12" fillId="26" borderId="30" xfId="0" applyNumberFormat="1" applyFont="1" applyFill="1" applyBorder="1" applyAlignment="1" applyProtection="1">
      <alignment horizontal="center"/>
      <protection/>
    </xf>
    <xf numFmtId="166" fontId="34" fillId="43" borderId="30" xfId="0" applyNumberFormat="1" applyFont="1" applyFill="1" applyBorder="1" applyAlignment="1" applyProtection="1">
      <alignment horizontal="center"/>
      <protection locked="0"/>
    </xf>
    <xf numFmtId="0" fontId="2" fillId="26" borderId="31" xfId="0" applyFont="1" applyFill="1" applyBorder="1" applyAlignment="1" applyProtection="1">
      <alignment horizontal="right"/>
      <protection/>
    </xf>
    <xf numFmtId="0" fontId="11" fillId="26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3" xfId="40" applyNumberFormat="1" applyFont="1" applyFill="1" applyBorder="1" applyAlignment="1" applyProtection="1">
      <alignment/>
      <protection/>
    </xf>
    <xf numFmtId="38" fontId="8" fillId="33" borderId="33" xfId="40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40" applyNumberFormat="1" applyFont="1" applyFill="1" applyBorder="1" applyAlignment="1" applyProtection="1">
      <alignment/>
      <protection/>
    </xf>
    <xf numFmtId="38" fontId="9" fillId="44" borderId="33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3" xfId="40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40" applyNumberFormat="1" applyFont="1" applyFill="1" applyBorder="1" applyAlignment="1" applyProtection="1">
      <alignment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6" borderId="45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33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48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40" applyNumberFormat="1" applyFont="1" applyFill="1" applyBorder="1" applyAlignment="1" applyProtection="1">
      <alignment/>
      <protection/>
    </xf>
    <xf numFmtId="38" fontId="24" fillId="44" borderId="57" xfId="40" applyNumberFormat="1" applyFont="1" applyFill="1" applyBorder="1" applyAlignment="1" applyProtection="1">
      <alignment/>
      <protection/>
    </xf>
    <xf numFmtId="38" fontId="24" fillId="44" borderId="50" xfId="40" applyNumberFormat="1" applyFont="1" applyFill="1" applyBorder="1" applyAlignment="1" applyProtection="1">
      <alignment/>
      <protection/>
    </xf>
    <xf numFmtId="38" fontId="24" fillId="44" borderId="51" xfId="40" applyNumberFormat="1" applyFont="1" applyFill="1" applyBorder="1" applyAlignment="1" applyProtection="1">
      <alignment/>
      <protection/>
    </xf>
    <xf numFmtId="38" fontId="24" fillId="44" borderId="52" xfId="40" applyNumberFormat="1" applyFont="1" applyFill="1" applyBorder="1" applyAlignment="1" applyProtection="1">
      <alignment/>
      <protection/>
    </xf>
    <xf numFmtId="38" fontId="24" fillId="44" borderId="53" xfId="40" applyNumberFormat="1" applyFont="1" applyFill="1" applyBorder="1" applyAlignment="1" applyProtection="1">
      <alignment/>
      <protection/>
    </xf>
    <xf numFmtId="38" fontId="8" fillId="33" borderId="58" xfId="40" applyNumberFormat="1" applyFont="1" applyFill="1" applyBorder="1" applyAlignment="1" applyProtection="1">
      <alignment/>
      <protection/>
    </xf>
    <xf numFmtId="38" fontId="8" fillId="33" borderId="19" xfId="40" applyNumberFormat="1" applyFont="1" applyFill="1" applyBorder="1" applyAlignment="1" applyProtection="1">
      <alignment/>
      <protection/>
    </xf>
    <xf numFmtId="38" fontId="8" fillId="33" borderId="55" xfId="40" applyNumberFormat="1" applyFont="1" applyFill="1" applyBorder="1" applyAlignment="1" applyProtection="1">
      <alignment/>
      <protection/>
    </xf>
    <xf numFmtId="38" fontId="24" fillId="44" borderId="46" xfId="40" applyNumberFormat="1" applyFont="1" applyFill="1" applyBorder="1" applyAlignment="1" applyProtection="1">
      <alignment/>
      <protection/>
    </xf>
    <xf numFmtId="38" fontId="24" fillId="44" borderId="47" xfId="40" applyNumberFormat="1" applyFont="1" applyFill="1" applyBorder="1" applyAlignment="1" applyProtection="1">
      <alignment/>
      <protection/>
    </xf>
    <xf numFmtId="38" fontId="9" fillId="47" borderId="59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33" borderId="59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26" borderId="46" xfId="0" applyFont="1" applyFill="1" applyBorder="1" applyAlignment="1" applyProtection="1">
      <alignment horizontal="left"/>
      <protection/>
    </xf>
    <xf numFmtId="175" fontId="152" fillId="33" borderId="30" xfId="0" applyNumberFormat="1" applyFont="1" applyFill="1" applyBorder="1" applyAlignment="1" applyProtection="1">
      <alignment horizontal="center"/>
      <protection locked="0"/>
    </xf>
    <xf numFmtId="175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33" applyFont="1" applyFill="1" applyBorder="1">
      <alignment/>
      <protection/>
    </xf>
    <xf numFmtId="0" fontId="3" fillId="26" borderId="46" xfId="0" applyFont="1" applyFill="1" applyBorder="1" applyAlignment="1" applyProtection="1">
      <alignment horizontal="right"/>
      <protection/>
    </xf>
    <xf numFmtId="38" fontId="9" fillId="33" borderId="62" xfId="40" applyNumberFormat="1" applyFont="1" applyFill="1" applyBorder="1" applyAlignment="1" applyProtection="1">
      <alignment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15" fillId="33" borderId="64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8" fillId="33" borderId="64" xfId="40" applyNumberFormat="1" applyFont="1" applyFill="1" applyBorder="1" applyAlignment="1" applyProtection="1">
      <alignment/>
      <protection/>
    </xf>
    <xf numFmtId="38" fontId="9" fillId="33" borderId="65" xfId="40" applyNumberFormat="1" applyFont="1" applyFill="1" applyBorder="1" applyAlignment="1" applyProtection="1">
      <alignment/>
      <protection/>
    </xf>
    <xf numFmtId="38" fontId="8" fillId="44" borderId="58" xfId="40" applyNumberFormat="1" applyFont="1" applyFill="1" applyBorder="1" applyAlignment="1" applyProtection="1">
      <alignment/>
      <protection/>
    </xf>
    <xf numFmtId="38" fontId="9" fillId="44" borderId="65" xfId="40" applyNumberFormat="1" applyFont="1" applyFill="1" applyBorder="1" applyAlignment="1" applyProtection="1">
      <alignment/>
      <protection/>
    </xf>
    <xf numFmtId="38" fontId="9" fillId="44" borderId="62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24" fillId="44" borderId="54" xfId="40" applyNumberFormat="1" applyFont="1" applyFill="1" applyBorder="1" applyAlignment="1" applyProtection="1">
      <alignment/>
      <protection/>
    </xf>
    <xf numFmtId="38" fontId="24" fillId="44" borderId="62" xfId="40" applyNumberFormat="1" applyFont="1" applyFill="1" applyBorder="1" applyAlignment="1" applyProtection="1">
      <alignment/>
      <protection/>
    </xf>
    <xf numFmtId="38" fontId="24" fillId="44" borderId="63" xfId="40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40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40" applyNumberFormat="1" applyFont="1" applyFill="1" applyBorder="1" applyAlignment="1" applyProtection="1">
      <alignment/>
      <protection/>
    </xf>
    <xf numFmtId="38" fontId="153" fillId="47" borderId="66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65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26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4" fillId="26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26" borderId="10" xfId="0" applyNumberFormat="1" applyFont="1" applyFill="1" applyBorder="1" applyAlignment="1" applyProtection="1">
      <alignment/>
      <protection locked="0"/>
    </xf>
    <xf numFmtId="176" fontId="4" fillId="26" borderId="10" xfId="0" applyNumberFormat="1" applyFont="1" applyFill="1" applyBorder="1" applyAlignment="1" applyProtection="1">
      <alignment/>
      <protection locked="0"/>
    </xf>
    <xf numFmtId="176" fontId="34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4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4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4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4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4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4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4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5" xfId="36" applyFont="1" applyFill="1" applyBorder="1" applyAlignment="1" applyProtection="1" quotePrefix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3" fillId="33" borderId="54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38" fontId="8" fillId="44" borderId="58" xfId="40" applyNumberFormat="1" applyFont="1" applyFill="1" applyBorder="1" applyAlignment="1" applyProtection="1">
      <alignment horizontal="center"/>
      <protection/>
    </xf>
    <xf numFmtId="38" fontId="8" fillId="44" borderId="19" xfId="40" applyNumberFormat="1" applyFont="1" applyFill="1" applyBorder="1" applyAlignment="1" applyProtection="1">
      <alignment horizontal="center"/>
      <protection/>
    </xf>
    <xf numFmtId="38" fontId="8" fillId="44" borderId="55" xfId="40" applyNumberFormat="1" applyFont="1" applyFill="1" applyBorder="1" applyAlignment="1" applyProtection="1">
      <alignment horizontal="center"/>
      <protection/>
    </xf>
    <xf numFmtId="38" fontId="9" fillId="44" borderId="65" xfId="40" applyNumberFormat="1" applyFont="1" applyFill="1" applyBorder="1" applyAlignment="1" applyProtection="1">
      <alignment horizontal="center"/>
      <protection/>
    </xf>
    <xf numFmtId="38" fontId="9" fillId="44" borderId="48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62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59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0" fontId="3" fillId="33" borderId="45" xfId="36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38" fontId="24" fillId="44" borderId="45" xfId="40" applyNumberFormat="1" applyFont="1" applyFill="1" applyBorder="1" applyAlignment="1" applyProtection="1">
      <alignment horizontal="center"/>
      <protection/>
    </xf>
    <xf numFmtId="38" fontId="24" fillId="44" borderId="46" xfId="40" applyNumberFormat="1" applyFont="1" applyFill="1" applyBorder="1" applyAlignment="1" applyProtection="1">
      <alignment horizontal="center"/>
      <protection/>
    </xf>
    <xf numFmtId="38" fontId="24" fillId="44" borderId="47" xfId="40" applyNumberFormat="1" applyFont="1" applyFill="1" applyBorder="1" applyAlignment="1" applyProtection="1">
      <alignment horizontal="center"/>
      <protection/>
    </xf>
    <xf numFmtId="38" fontId="8" fillId="33" borderId="58" xfId="40" applyNumberFormat="1" applyFont="1" applyFill="1" applyBorder="1" applyAlignment="1" applyProtection="1">
      <alignment horizontal="center"/>
      <protection/>
    </xf>
    <xf numFmtId="38" fontId="8" fillId="33" borderId="19" xfId="40" applyNumberFormat="1" applyFont="1" applyFill="1" applyBorder="1" applyAlignment="1" applyProtection="1">
      <alignment horizontal="center"/>
      <protection/>
    </xf>
    <xf numFmtId="38" fontId="8" fillId="33" borderId="55" xfId="40" applyNumberFormat="1" applyFont="1" applyFill="1" applyBorder="1" applyAlignment="1" applyProtection="1">
      <alignment horizontal="center"/>
      <protection/>
    </xf>
    <xf numFmtId="3" fontId="11" fillId="33" borderId="66" xfId="36" applyNumberFormat="1" applyFont="1" applyFill="1" applyBorder="1" applyAlignment="1" applyProtection="1">
      <alignment horizontal="center"/>
      <protection/>
    </xf>
    <xf numFmtId="3" fontId="11" fillId="33" borderId="59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0" fontId="5" fillId="39" borderId="70" xfId="36" applyFont="1" applyFill="1" applyBorder="1" applyAlignment="1" applyProtection="1">
      <alignment horizontal="left"/>
      <protection/>
    </xf>
    <xf numFmtId="0" fontId="5" fillId="39" borderId="39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166" fontId="5" fillId="39" borderId="69" xfId="36" applyNumberFormat="1" applyFont="1" applyFill="1" applyBorder="1" applyAlignment="1" applyProtection="1">
      <alignment horizontal="left"/>
      <protection/>
    </xf>
    <xf numFmtId="166" fontId="5" fillId="39" borderId="41" xfId="36" applyNumberFormat="1" applyFont="1" applyFill="1" applyBorder="1" applyAlignment="1" applyProtection="1">
      <alignment horizontal="left"/>
      <protection/>
    </xf>
    <xf numFmtId="166" fontId="5" fillId="39" borderId="42" xfId="36" applyNumberFormat="1" applyFont="1" applyFill="1" applyBorder="1" applyAlignment="1" applyProtection="1">
      <alignment horizontal="left"/>
      <protection/>
    </xf>
    <xf numFmtId="38" fontId="15" fillId="33" borderId="64" xfId="40" applyNumberFormat="1" applyFont="1" applyFill="1" applyBorder="1" applyAlignment="1" applyProtection="1">
      <alignment horizontal="left"/>
      <protection/>
    </xf>
    <xf numFmtId="38" fontId="15" fillId="33" borderId="33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48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64" xfId="40" applyNumberFormat="1" applyFont="1" applyFill="1" applyBorder="1" applyAlignment="1" applyProtection="1">
      <alignment horizontal="left"/>
      <protection/>
    </xf>
    <xf numFmtId="38" fontId="8" fillId="33" borderId="33" xfId="40" applyNumberFormat="1" applyFont="1" applyFill="1" applyBorder="1" applyAlignment="1" applyProtection="1">
      <alignment horizontal="left"/>
      <protection/>
    </xf>
    <xf numFmtId="0" fontId="15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4" fillId="26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2" fontId="156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26" borderId="86" xfId="0" applyNumberFormat="1" applyFont="1" applyFill="1" applyBorder="1" applyAlignment="1" applyProtection="1">
      <alignment/>
      <protection/>
    </xf>
    <xf numFmtId="176" fontId="3" fillId="26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48" fillId="39" borderId="22" xfId="0" applyNumberFormat="1" applyFont="1" applyFill="1" applyBorder="1" applyAlignment="1" applyProtection="1" quotePrefix="1">
      <alignment horizontal="center"/>
      <protection/>
    </xf>
    <xf numFmtId="183" fontId="155" fillId="42" borderId="22" xfId="0" applyNumberFormat="1" applyFont="1" applyFill="1" applyBorder="1" applyAlignment="1" applyProtection="1" quotePrefix="1">
      <alignment horizontal="center"/>
      <protection/>
    </xf>
    <xf numFmtId="183" fontId="156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57" fillId="38" borderId="107" xfId="0" applyNumberFormat="1" applyFont="1" applyFill="1" applyBorder="1" applyAlignment="1" applyProtection="1">
      <alignment horizontal="center"/>
      <protection/>
    </xf>
    <xf numFmtId="174" fontId="15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66" fontId="15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4" fillId="44" borderId="111" xfId="0" applyNumberFormat="1" applyFont="1" applyFill="1" applyBorder="1" applyAlignment="1" applyProtection="1">
      <alignment/>
      <protection/>
    </xf>
    <xf numFmtId="176" fontId="34" fillId="44" borderId="96" xfId="0" applyNumberFormat="1" applyFont="1" applyFill="1" applyBorder="1" applyAlignment="1" applyProtection="1">
      <alignment/>
      <protection/>
    </xf>
    <xf numFmtId="176" fontId="34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4" fillId="44" borderId="114" xfId="0" applyNumberFormat="1" applyFont="1" applyFill="1" applyBorder="1" applyAlignment="1" applyProtection="1">
      <alignment/>
      <protection/>
    </xf>
    <xf numFmtId="176" fontId="12" fillId="44" borderId="113" xfId="36" applyNumberFormat="1" applyFont="1" applyFill="1" applyBorder="1" applyAlignment="1" applyProtection="1">
      <alignment/>
      <protection/>
    </xf>
    <xf numFmtId="0" fontId="159" fillId="49" borderId="0" xfId="37" applyFont="1" applyFill="1" applyBorder="1" applyAlignment="1" applyProtection="1">
      <alignment horizontal="center"/>
      <protection/>
    </xf>
    <xf numFmtId="166" fontId="15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0" fillId="35" borderId="19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0" fillId="35" borderId="0" xfId="39" applyFont="1" applyFill="1" applyBorder="1" applyAlignment="1" applyProtection="1">
      <alignment/>
      <protection/>
    </xf>
    <xf numFmtId="0" fontId="159" fillId="33" borderId="0" xfId="37" applyFont="1" applyFill="1" applyBorder="1" applyAlignment="1" applyProtection="1">
      <alignment horizontal="center"/>
      <protection/>
    </xf>
    <xf numFmtId="164" fontId="57" fillId="50" borderId="30" xfId="39" applyNumberFormat="1" applyFont="1" applyFill="1" applyBorder="1" applyAlignment="1" applyProtection="1">
      <alignment horizontal="center" vertical="center"/>
      <protection locked="0"/>
    </xf>
    <xf numFmtId="166" fontId="141" fillId="26" borderId="0" xfId="40" applyNumberFormat="1" applyFont="1" applyFill="1" applyAlignment="1" applyProtection="1">
      <alignment/>
      <protection/>
    </xf>
    <xf numFmtId="0" fontId="143" fillId="35" borderId="0" xfId="39" applyFont="1" applyFill="1" applyBorder="1" applyProtection="1">
      <alignment/>
      <protection/>
    </xf>
    <xf numFmtId="0" fontId="161" fillId="35" borderId="0" xfId="39" applyFont="1" applyFill="1" applyBorder="1" applyProtection="1">
      <alignment/>
      <protection/>
    </xf>
    <xf numFmtId="0" fontId="161" fillId="35" borderId="0" xfId="39" applyFont="1" applyFill="1" applyProtection="1">
      <alignment/>
      <protection/>
    </xf>
    <xf numFmtId="172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19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64" fontId="13" fillId="36" borderId="30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66" fontId="8" fillId="33" borderId="0" xfId="40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26" borderId="48" xfId="0" applyFont="1" applyFill="1" applyBorder="1" applyAlignment="1" applyProtection="1">
      <alignment horizontal="center"/>
      <protection locked="0"/>
    </xf>
    <xf numFmtId="164" fontId="164" fillId="33" borderId="30" xfId="39" applyNumberFormat="1" applyFont="1" applyFill="1" applyBorder="1" applyAlignment="1" applyProtection="1">
      <alignment horizontal="center" vertical="center"/>
      <protection/>
    </xf>
    <xf numFmtId="164" fontId="165" fillId="33" borderId="30" xfId="39" applyNumberFormat="1" applyFont="1" applyFill="1" applyBorder="1" applyAlignment="1" applyProtection="1">
      <alignment horizontal="center" vertical="center"/>
      <protection/>
    </xf>
    <xf numFmtId="0" fontId="9" fillId="33" borderId="30" xfId="39" applyNumberFormat="1" applyFont="1" applyFill="1" applyBorder="1" applyAlignment="1" applyProtection="1">
      <alignment horizontal="center" vertical="center"/>
      <protection/>
    </xf>
    <xf numFmtId="0" fontId="9" fillId="38" borderId="30" xfId="39" applyNumberFormat="1" applyFont="1" applyFill="1" applyBorder="1" applyAlignment="1" applyProtection="1">
      <alignment horizontal="center" vertical="center"/>
      <protection locked="0"/>
    </xf>
    <xf numFmtId="38" fontId="18" fillId="33" borderId="63" xfId="40" applyNumberFormat="1" applyFont="1" applyFill="1" applyBorder="1" applyAlignment="1" applyProtection="1">
      <alignment/>
      <protection/>
    </xf>
    <xf numFmtId="38" fontId="18" fillId="33" borderId="62" xfId="40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40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16" fillId="33" borderId="0" xfId="33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26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66" fillId="33" borderId="74" xfId="0" applyNumberFormat="1" applyFont="1" applyFill="1" applyBorder="1" applyAlignment="1" applyProtection="1" quotePrefix="1">
      <alignment/>
      <protection/>
    </xf>
    <xf numFmtId="166" fontId="167" fillId="33" borderId="74" xfId="0" applyNumberFormat="1" applyFont="1" applyFill="1" applyBorder="1" applyAlignment="1" applyProtection="1" quotePrefix="1">
      <alignment/>
      <protection/>
    </xf>
    <xf numFmtId="166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6" fillId="33" borderId="119" xfId="0" applyNumberFormat="1" applyFont="1" applyFill="1" applyBorder="1" applyAlignment="1" applyProtection="1" quotePrefix="1">
      <alignment/>
      <protection/>
    </xf>
    <xf numFmtId="166" fontId="166" fillId="26" borderId="35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6" fontId="166" fillId="26" borderId="119" xfId="0" applyNumberFormat="1" applyFont="1" applyFill="1" applyBorder="1" applyAlignment="1" applyProtection="1" quotePrefix="1">
      <alignment/>
      <protection/>
    </xf>
    <xf numFmtId="166" fontId="167" fillId="26" borderId="35" xfId="0" applyNumberFormat="1" applyFont="1" applyFill="1" applyBorder="1" applyAlignment="1" applyProtection="1" quotePrefix="1">
      <alignment/>
      <protection/>
    </xf>
    <xf numFmtId="166" fontId="166" fillId="33" borderId="90" xfId="0" applyNumberFormat="1" applyFont="1" applyFill="1" applyBorder="1" applyAlignment="1" applyProtection="1" quotePrefix="1">
      <alignment/>
      <protection/>
    </xf>
    <xf numFmtId="166" fontId="167" fillId="33" borderId="91" xfId="0" applyNumberFormat="1" applyFont="1" applyFill="1" applyBorder="1" applyAlignment="1" applyProtection="1" quotePrefix="1">
      <alignment/>
      <protection/>
    </xf>
    <xf numFmtId="166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39" applyFont="1" applyFill="1" applyBorder="1" applyProtection="1">
      <alignment/>
      <protection/>
    </xf>
    <xf numFmtId="0" fontId="35" fillId="33" borderId="46" xfId="39" applyFont="1" applyFill="1" applyBorder="1" applyProtection="1">
      <alignment/>
      <protection/>
    </xf>
    <xf numFmtId="0" fontId="35" fillId="33" borderId="32" xfId="39" applyFont="1" applyFill="1" applyBorder="1" applyProtection="1">
      <alignment/>
      <protection/>
    </xf>
    <xf numFmtId="174" fontId="39" fillId="51" borderId="121" xfId="0" applyNumberFormat="1" applyFont="1" applyFill="1" applyBorder="1" applyAlignment="1" applyProtection="1">
      <alignment horizontal="center"/>
      <protection/>
    </xf>
    <xf numFmtId="174" fontId="40" fillId="43" borderId="121" xfId="0" applyNumberFormat="1" applyFont="1" applyFill="1" applyBorder="1" applyAlignment="1" applyProtection="1">
      <alignment horizontal="center"/>
      <protection/>
    </xf>
    <xf numFmtId="174" fontId="168" fillId="51" borderId="121" xfId="0" applyNumberFormat="1" applyFont="1" applyFill="1" applyBorder="1" applyAlignment="1" applyProtection="1">
      <alignment horizontal="center"/>
      <protection/>
    </xf>
    <xf numFmtId="174" fontId="169" fillId="43" borderId="121" xfId="0" applyNumberFormat="1" applyFont="1" applyFill="1" applyBorder="1" applyAlignment="1" applyProtection="1">
      <alignment horizontal="center"/>
      <protection/>
    </xf>
    <xf numFmtId="174" fontId="39" fillId="52" borderId="121" xfId="0" applyNumberFormat="1" applyFont="1" applyFill="1" applyBorder="1" applyAlignment="1" applyProtection="1">
      <alignment horizontal="center"/>
      <protection/>
    </xf>
    <xf numFmtId="174" fontId="40" fillId="52" borderId="121" xfId="0" applyNumberFormat="1" applyFont="1" applyFill="1" applyBorder="1" applyAlignment="1" applyProtection="1">
      <alignment horizontal="center"/>
      <protection/>
    </xf>
    <xf numFmtId="174" fontId="170" fillId="52" borderId="121" xfId="0" applyNumberFormat="1" applyFont="1" applyFill="1" applyBorder="1" applyAlignment="1" applyProtection="1">
      <alignment horizontal="center"/>
      <protection/>
    </xf>
    <xf numFmtId="174" fontId="169" fillId="52" borderId="121" xfId="0" applyNumberFormat="1" applyFont="1" applyFill="1" applyBorder="1" applyAlignment="1" applyProtection="1">
      <alignment horizontal="center"/>
      <protection/>
    </xf>
    <xf numFmtId="174" fontId="39" fillId="40" borderId="121" xfId="0" applyNumberFormat="1" applyFont="1" applyFill="1" applyBorder="1" applyAlignment="1" applyProtection="1">
      <alignment horizontal="center"/>
      <protection/>
    </xf>
    <xf numFmtId="174" fontId="40" fillId="40" borderId="121" xfId="0" applyNumberFormat="1" applyFont="1" applyFill="1" applyBorder="1" applyAlignment="1" applyProtection="1">
      <alignment horizontal="center"/>
      <protection/>
    </xf>
    <xf numFmtId="174" fontId="171" fillId="40" borderId="121" xfId="0" applyNumberFormat="1" applyFont="1" applyFill="1" applyBorder="1" applyAlignment="1" applyProtection="1">
      <alignment horizontal="center"/>
      <protection/>
    </xf>
    <xf numFmtId="174" fontId="172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57" fillId="38" borderId="122" xfId="0" applyNumberFormat="1" applyFont="1" applyFill="1" applyBorder="1" applyAlignment="1" applyProtection="1">
      <alignment horizontal="center"/>
      <protection/>
    </xf>
    <xf numFmtId="174" fontId="157" fillId="38" borderId="123" xfId="0" applyNumberFormat="1" applyFont="1" applyFill="1" applyBorder="1" applyAlignment="1" applyProtection="1">
      <alignment horizontal="center"/>
      <protection/>
    </xf>
    <xf numFmtId="166" fontId="12" fillId="26" borderId="122" xfId="0" applyNumberFormat="1" applyFont="1" applyFill="1" applyBorder="1" applyAlignment="1" applyProtection="1">
      <alignment horizontal="center"/>
      <protection/>
    </xf>
    <xf numFmtId="166" fontId="34" fillId="26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40" applyNumberFormat="1" applyFont="1" applyFill="1" applyBorder="1" applyAlignment="1" applyProtection="1">
      <alignment/>
      <protection/>
    </xf>
    <xf numFmtId="38" fontId="9" fillId="44" borderId="47" xfId="40" applyNumberFormat="1" applyFont="1" applyFill="1" applyBorder="1" applyAlignment="1" applyProtection="1">
      <alignment/>
      <protection/>
    </xf>
    <xf numFmtId="38" fontId="173" fillId="44" borderId="45" xfId="40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4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4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4" fillId="44" borderId="10" xfId="0" applyNumberFormat="1" applyFont="1" applyFill="1" applyBorder="1" applyAlignment="1" applyProtection="1">
      <alignment/>
      <protection locked="0"/>
    </xf>
    <xf numFmtId="166" fontId="158" fillId="26" borderId="0" xfId="0" applyNumberFormat="1" applyFont="1" applyFill="1" applyBorder="1" applyAlignment="1" applyProtection="1" quotePrefix="1">
      <alignment horizontal="center"/>
      <protection/>
    </xf>
    <xf numFmtId="166" fontId="158" fillId="33" borderId="0" xfId="0" applyNumberFormat="1" applyFont="1" applyFill="1" applyBorder="1" applyAlignment="1" applyProtection="1" quotePrefix="1">
      <alignment horizontal="center"/>
      <protection/>
    </xf>
    <xf numFmtId="168" fontId="66" fillId="53" borderId="0" xfId="33" applyNumberFormat="1" applyFont="1" applyFill="1" applyBorder="1" applyAlignment="1">
      <alignment horizontal="center"/>
      <protection/>
    </xf>
    <xf numFmtId="171" fontId="66" fillId="53" borderId="0" xfId="33" applyNumberFormat="1" applyFont="1" applyFill="1" applyBorder="1" applyAlignment="1">
      <alignment horizontal="center"/>
      <protection/>
    </xf>
    <xf numFmtId="171" fontId="24" fillId="26" borderId="0" xfId="33" applyNumberFormat="1" applyFont="1" applyFill="1" applyBorder="1" applyAlignment="1">
      <alignment horizontal="center"/>
      <protection/>
    </xf>
    <xf numFmtId="168" fontId="24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1" fontId="24" fillId="33" borderId="0" xfId="33" applyNumberFormat="1" applyFont="1" applyFill="1" applyBorder="1" applyAlignment="1">
      <alignment/>
      <protection/>
    </xf>
    <xf numFmtId="171" fontId="24" fillId="53" borderId="0" xfId="33" applyNumberFormat="1" applyFont="1" applyFill="1" applyBorder="1" applyAlignment="1">
      <alignment horizontal="center"/>
      <protection/>
    </xf>
    <xf numFmtId="171" fontId="9" fillId="33" borderId="0" xfId="33" applyNumberFormat="1" applyFont="1" applyFill="1" applyBorder="1" applyAlignment="1">
      <alignment/>
      <protection/>
    </xf>
    <xf numFmtId="0" fontId="8" fillId="26" borderId="71" xfId="33" applyFont="1" applyFill="1" applyBorder="1">
      <alignment/>
      <protection/>
    </xf>
    <xf numFmtId="170" fontId="67" fillId="26" borderId="72" xfId="33" applyNumberFormat="1" applyFont="1" applyFill="1" applyBorder="1" applyAlignment="1">
      <alignment horizontal="center"/>
      <protection/>
    </xf>
    <xf numFmtId="170" fontId="67" fillId="33" borderId="0" xfId="33" applyNumberFormat="1" applyFont="1" applyFill="1" applyBorder="1" applyAlignment="1">
      <alignment horizontal="center"/>
      <protection/>
    </xf>
    <xf numFmtId="0" fontId="8" fillId="26" borderId="29" xfId="33" applyFont="1" applyFill="1" applyBorder="1">
      <alignment/>
      <protection/>
    </xf>
    <xf numFmtId="169" fontId="24" fillId="38" borderId="0" xfId="33" applyNumberFormat="1" applyFont="1" applyFill="1" applyBorder="1">
      <alignment/>
      <protection/>
    </xf>
    <xf numFmtId="0" fontId="9" fillId="26" borderId="71" xfId="33" applyFont="1" applyFill="1" applyBorder="1">
      <alignment/>
      <protection/>
    </xf>
    <xf numFmtId="171" fontId="9" fillId="26" borderId="19" xfId="33" applyNumberFormat="1" applyFont="1" applyFill="1" applyBorder="1" applyAlignment="1">
      <alignment horizontal="left"/>
      <protection/>
    </xf>
    <xf numFmtId="171" fontId="9" fillId="26" borderId="72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68" fontId="24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69" fontId="24" fillId="26" borderId="0" xfId="33" applyNumberFormat="1" applyFont="1" applyFill="1" applyBorder="1">
      <alignment/>
      <protection/>
    </xf>
    <xf numFmtId="0" fontId="9" fillId="26" borderId="29" xfId="33" applyFont="1" applyFill="1" applyBorder="1">
      <alignment/>
      <protection/>
    </xf>
    <xf numFmtId="169" fontId="24" fillId="26" borderId="20" xfId="33" applyNumberFormat="1" applyFont="1" applyFill="1" applyBorder="1">
      <alignment/>
      <protection/>
    </xf>
    <xf numFmtId="168" fontId="24" fillId="26" borderId="20" xfId="33" applyNumberFormat="1" applyFont="1" applyFill="1" applyBorder="1" applyAlignment="1">
      <alignment horizontal="left"/>
      <protection/>
    </xf>
    <xf numFmtId="185" fontId="141" fillId="40" borderId="27" xfId="34" applyNumberFormat="1" applyFont="1" applyFill="1" applyBorder="1" applyAlignment="1">
      <alignment horizontal="center"/>
      <protection/>
    </xf>
    <xf numFmtId="171" fontId="24" fillId="26" borderId="0" xfId="33" applyNumberFormat="1" applyFont="1" applyFill="1" applyBorder="1" applyAlignment="1">
      <alignment horizontal="center"/>
      <protection/>
    </xf>
    <xf numFmtId="171" fontId="24" fillId="33" borderId="0" xfId="33" applyNumberFormat="1" applyFont="1" applyFill="1" applyBorder="1" applyAlignment="1">
      <alignment horizontal="center"/>
      <protection/>
    </xf>
    <xf numFmtId="169" fontId="24" fillId="53" borderId="0" xfId="33" applyNumberFormat="1" applyFont="1" applyFill="1" applyBorder="1" applyAlignment="1">
      <alignment horizontal="center"/>
      <protection/>
    </xf>
    <xf numFmtId="169" fontId="24" fillId="33" borderId="0" xfId="33" applyNumberFormat="1" applyFont="1" applyFill="1" applyBorder="1" applyAlignment="1">
      <alignment horizontal="center"/>
      <protection/>
    </xf>
    <xf numFmtId="168" fontId="24" fillId="26" borderId="0" xfId="33" applyNumberFormat="1" applyFont="1" applyFill="1" applyBorder="1" applyAlignment="1">
      <alignment horizontal="center"/>
      <protection/>
    </xf>
    <xf numFmtId="170" fontId="24" fillId="26" borderId="19" xfId="33" applyNumberFormat="1" applyFont="1" applyFill="1" applyBorder="1" applyAlignment="1">
      <alignment horizontal="center"/>
      <protection/>
    </xf>
    <xf numFmtId="169" fontId="8" fillId="33" borderId="0" xfId="33" applyNumberFormat="1" applyFont="1" applyFill="1" applyBorder="1" applyAlignment="1">
      <alignment horizontal="left"/>
      <protection/>
    </xf>
    <xf numFmtId="170" fontId="8" fillId="33" borderId="0" xfId="33" applyNumberFormat="1" applyFont="1" applyFill="1" applyBorder="1" applyAlignment="1">
      <alignment horizontal="left"/>
      <protection/>
    </xf>
    <xf numFmtId="169" fontId="24" fillId="33" borderId="0" xfId="33" applyNumberFormat="1" applyFont="1" applyFill="1" applyBorder="1" applyAlignment="1">
      <alignment horizontal="center"/>
      <protection/>
    </xf>
    <xf numFmtId="170" fontId="24" fillId="38" borderId="0" xfId="33" applyNumberFormat="1" applyFont="1" applyFill="1" applyBorder="1" applyAlignment="1">
      <alignment horizontal="center"/>
      <protection/>
    </xf>
    <xf numFmtId="38" fontId="173" fillId="44" borderId="45" xfId="40" applyNumberFormat="1" applyFont="1" applyFill="1" applyBorder="1" applyAlignment="1" applyProtection="1">
      <alignment horizontal="center"/>
      <protection/>
    </xf>
    <xf numFmtId="38" fontId="173" fillId="44" borderId="46" xfId="40" applyNumberFormat="1" applyFont="1" applyFill="1" applyBorder="1" applyAlignment="1" applyProtection="1">
      <alignment horizontal="center"/>
      <protection/>
    </xf>
    <xf numFmtId="38" fontId="173" fillId="44" borderId="47" xfId="40" applyNumberFormat="1" applyFont="1" applyFill="1" applyBorder="1" applyAlignment="1" applyProtection="1">
      <alignment horizontal="center"/>
      <protection/>
    </xf>
    <xf numFmtId="38" fontId="9" fillId="33" borderId="62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178" fontId="174" fillId="46" borderId="31" xfId="33" applyNumberFormat="1" applyFont="1" applyFill="1" applyBorder="1" applyAlignment="1" applyProtection="1">
      <alignment horizontal="center" vertical="center"/>
      <protection locked="0"/>
    </xf>
    <xf numFmtId="178" fontId="174" fillId="46" borderId="32" xfId="33" applyNumberFormat="1" applyFont="1" applyFill="1" applyBorder="1" applyAlignment="1" applyProtection="1">
      <alignment horizontal="center" vertical="center"/>
      <protection locked="0"/>
    </xf>
    <xf numFmtId="0" fontId="4" fillId="33" borderId="69" xfId="36" applyFont="1" applyFill="1" applyBorder="1" applyAlignment="1" applyProtection="1">
      <alignment horizontal="center"/>
      <protection/>
    </xf>
    <xf numFmtId="0" fontId="4" fillId="33" borderId="41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38" fontId="8" fillId="46" borderId="45" xfId="40" applyNumberFormat="1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0" fontId="4" fillId="48" borderId="67" xfId="36" applyFont="1" applyFill="1" applyBorder="1" applyAlignment="1" applyProtection="1" quotePrefix="1">
      <alignment horizontal="center"/>
      <protection/>
    </xf>
    <xf numFmtId="0" fontId="4" fillId="48" borderId="43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38" fontId="9" fillId="33" borderId="65" xfId="40" applyNumberFormat="1" applyFont="1" applyFill="1" applyBorder="1" applyAlignment="1" applyProtection="1">
      <alignment horizontal="center"/>
      <protection/>
    </xf>
    <xf numFmtId="38" fontId="9" fillId="33" borderId="48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47" fillId="33" borderId="65" xfId="40" applyNumberFormat="1" applyFont="1" applyFill="1" applyBorder="1" applyAlignment="1" applyProtection="1">
      <alignment horizontal="center"/>
      <protection/>
    </xf>
    <xf numFmtId="38" fontId="47" fillId="33" borderId="48" xfId="40" applyNumberFormat="1" applyFont="1" applyFill="1" applyBorder="1" applyAlignment="1" applyProtection="1">
      <alignment horizontal="center"/>
      <protection/>
    </xf>
    <xf numFmtId="38" fontId="47" fillId="33" borderId="49" xfId="40" applyNumberFormat="1" applyFont="1" applyFill="1" applyBorder="1" applyAlignment="1" applyProtection="1">
      <alignment horizontal="center"/>
      <protection/>
    </xf>
    <xf numFmtId="38" fontId="14" fillId="33" borderId="63" xfId="40" applyNumberFormat="1" applyFont="1" applyFill="1" applyBorder="1" applyAlignment="1" applyProtection="1">
      <alignment horizontal="center"/>
      <protection/>
    </xf>
    <xf numFmtId="38" fontId="14" fillId="33" borderId="52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0" fontId="4" fillId="5" borderId="67" xfId="36" applyFont="1" applyFill="1" applyBorder="1" applyAlignment="1" applyProtection="1">
      <alignment horizontal="center"/>
      <protection/>
    </xf>
    <xf numFmtId="0" fontId="4" fillId="5" borderId="43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left"/>
      <protection/>
    </xf>
    <xf numFmtId="38" fontId="9" fillId="33" borderId="52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153" fillId="47" borderId="68" xfId="40" applyNumberFormat="1" applyFont="1" applyFill="1" applyBorder="1" applyAlignment="1" applyProtection="1">
      <alignment horizontal="center"/>
      <protection/>
    </xf>
    <xf numFmtId="38" fontId="153" fillId="47" borderId="20" xfId="40" applyNumberFormat="1" applyFont="1" applyFill="1" applyBorder="1" applyAlignment="1" applyProtection="1">
      <alignment horizontal="center"/>
      <protection/>
    </xf>
    <xf numFmtId="38" fontId="153" fillId="47" borderId="61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0" fontId="4" fillId="39" borderId="67" xfId="36" applyFont="1" applyFill="1" applyBorder="1" applyAlignment="1" applyProtection="1">
      <alignment horizontal="center"/>
      <protection/>
    </xf>
    <xf numFmtId="0" fontId="4" fillId="39" borderId="43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38" fontId="24" fillId="44" borderId="54" xfId="40" applyNumberFormat="1" applyFont="1" applyFill="1" applyBorder="1" applyAlignment="1" applyProtection="1">
      <alignment horizontal="center"/>
      <protection/>
    </xf>
    <xf numFmtId="38" fontId="24" fillId="44" borderId="56" xfId="40" applyNumberFormat="1" applyFont="1" applyFill="1" applyBorder="1" applyAlignment="1" applyProtection="1">
      <alignment horizontal="center"/>
      <protection/>
    </xf>
    <xf numFmtId="38" fontId="24" fillId="44" borderId="57" xfId="40" applyNumberFormat="1" applyFont="1" applyFill="1" applyBorder="1" applyAlignment="1" applyProtection="1">
      <alignment horizontal="center"/>
      <protection/>
    </xf>
    <xf numFmtId="38" fontId="24" fillId="44" borderId="62" xfId="40" applyNumberFormat="1" applyFont="1" applyFill="1" applyBorder="1" applyAlignment="1" applyProtection="1">
      <alignment horizontal="center"/>
      <protection/>
    </xf>
    <xf numFmtId="38" fontId="24" fillId="44" borderId="50" xfId="40" applyNumberFormat="1" applyFont="1" applyFill="1" applyBorder="1" applyAlignment="1" applyProtection="1">
      <alignment horizontal="center"/>
      <protection/>
    </xf>
    <xf numFmtId="38" fontId="24" fillId="44" borderId="51" xfId="40" applyNumberFormat="1" applyFont="1" applyFill="1" applyBorder="1" applyAlignment="1" applyProtection="1">
      <alignment horizontal="center"/>
      <protection/>
    </xf>
    <xf numFmtId="38" fontId="24" fillId="44" borderId="63" xfId="40" applyNumberFormat="1" applyFont="1" applyFill="1" applyBorder="1" applyAlignment="1" applyProtection="1">
      <alignment horizontal="center"/>
      <protection/>
    </xf>
    <xf numFmtId="38" fontId="24" fillId="44" borderId="52" xfId="40" applyNumberFormat="1" applyFont="1" applyFill="1" applyBorder="1" applyAlignment="1" applyProtection="1">
      <alignment horizontal="center"/>
      <protection/>
    </xf>
    <xf numFmtId="38" fontId="24" fillId="44" borderId="53" xfId="40" applyNumberFormat="1" applyFont="1" applyFill="1" applyBorder="1" applyAlignment="1" applyProtection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59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24" fillId="54" borderId="45" xfId="40" applyNumberFormat="1" applyFont="1" applyFill="1" applyBorder="1" applyAlignment="1" applyProtection="1">
      <alignment horizontal="center"/>
      <protection/>
    </xf>
    <xf numFmtId="38" fontId="24" fillId="54" borderId="46" xfId="40" applyNumberFormat="1" applyFont="1" applyFill="1" applyBorder="1" applyAlignment="1" applyProtection="1">
      <alignment horizontal="center"/>
      <protection/>
    </xf>
    <xf numFmtId="38" fontId="24" fillId="54" borderId="47" xfId="40" applyNumberFormat="1" applyFont="1" applyFill="1" applyBorder="1" applyAlignment="1" applyProtection="1">
      <alignment horizontal="center"/>
      <protection/>
    </xf>
    <xf numFmtId="0" fontId="175" fillId="26" borderId="0" xfId="36" applyFont="1" applyFill="1" applyBorder="1" applyAlignment="1" applyProtection="1">
      <alignment horizontal="center"/>
      <protection/>
    </xf>
    <xf numFmtId="177" fontId="150" fillId="33" borderId="31" xfId="36" applyNumberFormat="1" applyFont="1" applyFill="1" applyBorder="1" applyAlignment="1" applyProtection="1">
      <alignment horizontal="center"/>
      <protection/>
    </xf>
    <xf numFmtId="177" fontId="150" fillId="33" borderId="46" xfId="36" applyNumberFormat="1" applyFont="1" applyFill="1" applyBorder="1" applyAlignment="1" applyProtection="1">
      <alignment horizontal="center"/>
      <protection/>
    </xf>
    <xf numFmtId="177" fontId="150" fillId="33" borderId="32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5" xfId="36" applyFont="1" applyFill="1" applyBorder="1" applyAlignment="1" applyProtection="1">
      <alignment horizontal="center" vertical="center" wrapText="1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77" fontId="176" fillId="26" borderId="0" xfId="36" applyNumberFormat="1" applyFont="1" applyFill="1" applyBorder="1" applyAlignment="1" applyProtection="1">
      <alignment horizontal="center"/>
      <protection/>
    </xf>
    <xf numFmtId="0" fontId="141" fillId="26" borderId="0" xfId="33" applyFont="1" applyFill="1" applyAlignment="1" applyProtection="1" quotePrefix="1">
      <alignment horizontal="center"/>
      <protection/>
    </xf>
    <xf numFmtId="179" fontId="141" fillId="33" borderId="31" xfId="38" applyNumberFormat="1" applyFont="1" applyFill="1" applyBorder="1" applyAlignment="1" applyProtection="1" quotePrefix="1">
      <alignment horizontal="center" vertical="center"/>
      <protection locked="0"/>
    </xf>
    <xf numFmtId="179" fontId="141" fillId="33" borderId="32" xfId="38" applyNumberFormat="1" applyFont="1" applyFill="1" applyBorder="1" applyAlignment="1" applyProtection="1" quotePrefix="1">
      <alignment horizontal="center" vertical="center"/>
      <protection locked="0"/>
    </xf>
    <xf numFmtId="0" fontId="140" fillId="36" borderId="31" xfId="70" applyFill="1" applyBorder="1" applyAlignment="1" applyProtection="1">
      <alignment horizontal="center" vertical="center"/>
      <protection locked="0"/>
    </xf>
    <xf numFmtId="0" fontId="177" fillId="36" borderId="46" xfId="70" applyFont="1" applyFill="1" applyBorder="1" applyAlignment="1" applyProtection="1">
      <alignment horizontal="center" vertical="center"/>
      <protection locked="0"/>
    </xf>
    <xf numFmtId="0" fontId="177" fillId="36" borderId="32" xfId="70" applyFont="1" applyFill="1" applyBorder="1" applyAlignment="1" applyProtection="1">
      <alignment horizontal="center" vertical="center"/>
      <protection locked="0"/>
    </xf>
    <xf numFmtId="38" fontId="140" fillId="33" borderId="31" xfId="70" applyNumberFormat="1" applyFill="1" applyBorder="1" applyAlignment="1" applyProtection="1">
      <alignment horizontal="center" vertical="center"/>
      <protection locked="0"/>
    </xf>
    <xf numFmtId="38" fontId="178" fillId="33" borderId="46" xfId="70" applyNumberFormat="1" applyFont="1" applyFill="1" applyBorder="1" applyAlignment="1" applyProtection="1">
      <alignment horizontal="center" vertical="center"/>
      <protection locked="0"/>
    </xf>
    <xf numFmtId="38" fontId="178" fillId="33" borderId="32" xfId="70" applyNumberFormat="1" applyFont="1" applyFill="1" applyBorder="1" applyAlignment="1" applyProtection="1">
      <alignment horizontal="center" vertical="center"/>
      <protection locked="0"/>
    </xf>
    <xf numFmtId="0" fontId="55" fillId="50" borderId="124" xfId="39" applyFont="1" applyFill="1" applyBorder="1" applyAlignment="1" applyProtection="1" quotePrefix="1">
      <alignment horizontal="center" wrapText="1"/>
      <protection locked="0"/>
    </xf>
    <xf numFmtId="0" fontId="55" fillId="50" borderId="56" xfId="39" applyFont="1" applyFill="1" applyBorder="1" applyAlignment="1" applyProtection="1">
      <alignment horizontal="center" wrapText="1"/>
      <protection locked="0"/>
    </xf>
    <xf numFmtId="0" fontId="55" fillId="50" borderId="125" xfId="39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9" fillId="26" borderId="48" xfId="33" applyFont="1" applyFill="1" applyBorder="1" applyAlignment="1" applyProtection="1" quotePrefix="1">
      <alignment horizontal="center"/>
      <protection/>
    </xf>
    <xf numFmtId="0" fontId="180" fillId="38" borderId="29" xfId="39" applyFont="1" applyFill="1" applyBorder="1" applyAlignment="1" applyProtection="1">
      <alignment horizontal="center" vertical="center" wrapText="1"/>
      <protection locked="0"/>
    </xf>
    <xf numFmtId="0" fontId="180" fillId="38" borderId="20" xfId="39" applyFont="1" applyFill="1" applyBorder="1" applyAlignment="1" applyProtection="1">
      <alignment horizontal="center" vertical="center" wrapText="1"/>
      <protection locked="0"/>
    </xf>
    <xf numFmtId="0" fontId="180" fillId="38" borderId="21" xfId="39" applyFont="1" applyFill="1" applyBorder="1" applyAlignment="1" applyProtection="1">
      <alignment horizontal="center" vertical="center" wrapText="1"/>
      <protection locked="0"/>
    </xf>
    <xf numFmtId="0" fontId="181" fillId="33" borderId="64" xfId="37" applyFont="1" applyFill="1" applyBorder="1" applyAlignment="1" applyProtection="1">
      <alignment horizontal="center"/>
      <protection/>
    </xf>
    <xf numFmtId="0" fontId="181" fillId="33" borderId="0" xfId="37" applyFont="1" applyFill="1" applyBorder="1" applyAlignment="1" applyProtection="1">
      <alignment horizontal="center"/>
      <protection/>
    </xf>
    <xf numFmtId="0" fontId="181" fillId="33" borderId="33" xfId="37" applyFont="1" applyFill="1" applyBorder="1" applyAlignment="1" applyProtection="1">
      <alignment horizontal="center"/>
      <protection/>
    </xf>
    <xf numFmtId="0" fontId="159" fillId="49" borderId="119" xfId="37" applyFont="1" applyFill="1" applyBorder="1" applyAlignment="1" applyProtection="1">
      <alignment horizontal="center"/>
      <protection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77" fontId="176" fillId="33" borderId="0" xfId="36" applyNumberFormat="1" applyFont="1" applyFill="1" applyBorder="1" applyAlignment="1" applyProtection="1">
      <alignment horizontal="center"/>
      <protection/>
    </xf>
    <xf numFmtId="0" fontId="179" fillId="33" borderId="48" xfId="33" applyFont="1" applyFill="1" applyBorder="1" applyAlignment="1" applyProtection="1" quotePrefix="1">
      <alignment horizontal="center"/>
      <protection/>
    </xf>
    <xf numFmtId="177" fontId="4" fillId="26" borderId="31" xfId="36" applyNumberFormat="1" applyFont="1" applyFill="1" applyBorder="1" applyAlignment="1" applyProtection="1">
      <alignment horizontal="center"/>
      <protection/>
    </xf>
    <xf numFmtId="177" fontId="4" fillId="26" borderId="46" xfId="36" applyNumberFormat="1" applyFont="1" applyFill="1" applyBorder="1" applyAlignment="1" applyProtection="1">
      <alignment horizontal="center"/>
      <protection/>
    </xf>
    <xf numFmtId="177" fontId="4" fillId="26" borderId="32" xfId="36" applyNumberFormat="1" applyFont="1" applyFill="1" applyBorder="1" applyAlignment="1" applyProtection="1">
      <alignment horizontal="center"/>
      <protection/>
    </xf>
    <xf numFmtId="0" fontId="181" fillId="33" borderId="119" xfId="37" applyFont="1" applyFill="1" applyBorder="1" applyAlignment="1" applyProtection="1">
      <alignment horizontal="center"/>
      <protection/>
    </xf>
    <xf numFmtId="0" fontId="181" fillId="33" borderId="126" xfId="37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6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79" fontId="8" fillId="33" borderId="31" xfId="38" applyNumberFormat="1" applyFont="1" applyFill="1" applyBorder="1" applyAlignment="1" applyProtection="1" quotePrefix="1">
      <alignment horizontal="center" vertical="center"/>
      <protection/>
    </xf>
    <xf numFmtId="179" fontId="8" fillId="33" borderId="32" xfId="38" applyNumberFormat="1" applyFont="1" applyFill="1" applyBorder="1" applyAlignment="1" applyProtection="1" quotePrefix="1">
      <alignment horizontal="center" vertical="center"/>
      <protection/>
    </xf>
    <xf numFmtId="178" fontId="174" fillId="46" borderId="31" xfId="33" applyNumberFormat="1" applyFont="1" applyFill="1" applyBorder="1" applyAlignment="1" applyProtection="1">
      <alignment horizontal="center" vertical="center"/>
      <protection/>
    </xf>
    <xf numFmtId="178" fontId="174" fillId="46" borderId="32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8" fillId="33" borderId="29" xfId="39" applyFont="1" applyFill="1" applyBorder="1" applyAlignment="1" applyProtection="1">
      <alignment horizontal="center" vertical="center" wrapText="1"/>
      <protection/>
    </xf>
    <xf numFmtId="0" fontId="58" fillId="33" borderId="20" xfId="39" applyFont="1" applyFill="1" applyBorder="1" applyAlignment="1" applyProtection="1">
      <alignment horizontal="center" vertical="center" wrapText="1"/>
      <protection/>
    </xf>
    <xf numFmtId="0" fontId="58" fillId="33" borderId="21" xfId="39" applyFont="1" applyFill="1" applyBorder="1" applyAlignment="1" applyProtection="1">
      <alignment horizontal="center" vertical="center" wrapText="1"/>
      <protection/>
    </xf>
    <xf numFmtId="38" fontId="11" fillId="33" borderId="31" xfId="70" applyNumberFormat="1" applyFont="1" applyFill="1" applyBorder="1" applyAlignment="1" applyProtection="1">
      <alignment horizontal="center" vertical="center"/>
      <protection/>
    </xf>
    <xf numFmtId="38" fontId="11" fillId="33" borderId="46" xfId="70" applyNumberFormat="1" applyFont="1" applyFill="1" applyBorder="1" applyAlignment="1" applyProtection="1">
      <alignment horizontal="center" vertical="center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0" fontId="182" fillId="36" borderId="31" xfId="70" applyFont="1" applyFill="1" applyBorder="1" applyAlignment="1" applyProtection="1">
      <alignment horizontal="center" vertical="center"/>
      <protection/>
    </xf>
    <xf numFmtId="0" fontId="182" fillId="36" borderId="46" xfId="70" applyFont="1" applyFill="1" applyBorder="1" applyAlignment="1" applyProtection="1">
      <alignment horizontal="center" vertical="center"/>
      <protection/>
    </xf>
    <xf numFmtId="0" fontId="182" fillId="36" borderId="32" xfId="7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3">
        <f>+'Cash-Flow-2019-Leva'!P5</f>
        <v>2019</v>
      </c>
      <c r="M2" s="553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58">
        <f>+'Cash-Flow-2019-Leva'!P5</f>
        <v>2019</v>
      </c>
      <c r="I7" s="558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60">
        <f>+'Cash-Flow-2019-Leva'!P5</f>
        <v>2019</v>
      </c>
      <c r="G25" s="560"/>
      <c r="H25" s="560"/>
      <c r="I25" s="560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54">
        <f>+H7</f>
        <v>2019</v>
      </c>
      <c r="H32" s="554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56">
        <f>+F25-1</f>
        <v>2018</v>
      </c>
      <c r="M35" s="556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55">
        <f>+H7-1</f>
        <v>2018</v>
      </c>
      <c r="H37" s="555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61">
        <f>+'Cash-Flow-2019-Leva'!P5</f>
        <v>2019</v>
      </c>
      <c r="G48" s="561"/>
      <c r="H48" s="561"/>
      <c r="I48" s="561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63">
        <f>+'Cash-Flow-2019-Leva'!P5</f>
        <v>2019</v>
      </c>
      <c r="H49" s="563"/>
      <c r="I49" s="563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62">
        <f>+'Cash-Flow-2019-Leva'!P5</f>
        <v>2019</v>
      </c>
      <c r="G50" s="562"/>
      <c r="H50" s="562"/>
      <c r="I50" s="562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57">
        <f>+'Cash-Flow-2019-Leva'!P5</f>
        <v>2019</v>
      </c>
      <c r="F66" s="557"/>
      <c r="G66" s="557"/>
      <c r="H66" s="557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9">
        <f>+'Cash-Flow-2019-Leva'!P5</f>
        <v>2019</v>
      </c>
      <c r="I68" s="559"/>
      <c r="J68" s="559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view="pageBreakPreview" zoomScale="60" zoomScaleNormal="136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8" sqref="I1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646"/>
      <c r="C1" s="647"/>
      <c r="D1" s="647"/>
      <c r="E1" s="647"/>
      <c r="F1" s="648"/>
      <c r="G1" s="442" t="s">
        <v>252</v>
      </c>
      <c r="H1" s="435"/>
      <c r="I1" s="638">
        <v>133933</v>
      </c>
      <c r="J1" s="639"/>
      <c r="K1" s="436"/>
      <c r="L1" s="444" t="s">
        <v>253</v>
      </c>
      <c r="M1" s="440">
        <v>5407</v>
      </c>
      <c r="N1" s="436"/>
      <c r="O1" s="444" t="s">
        <v>245</v>
      </c>
      <c r="P1" s="463" t="s">
        <v>354</v>
      </c>
      <c r="Q1" s="437"/>
      <c r="R1" s="352" t="s">
        <v>286</v>
      </c>
      <c r="S1" s="570"/>
      <c r="T1" s="571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633" t="s">
        <v>246</v>
      </c>
      <c r="C2" s="634"/>
      <c r="D2" s="634"/>
      <c r="E2" s="634"/>
      <c r="F2" s="635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653" t="s">
        <v>258</v>
      </c>
      <c r="C3" s="654"/>
      <c r="D3" s="654"/>
      <c r="E3" s="654"/>
      <c r="F3" s="655"/>
      <c r="G3" s="443" t="s">
        <v>244</v>
      </c>
      <c r="H3" s="643" t="s">
        <v>356</v>
      </c>
      <c r="I3" s="644"/>
      <c r="J3" s="644"/>
      <c r="K3" s="645"/>
      <c r="L3" s="28" t="s">
        <v>254</v>
      </c>
      <c r="M3" s="640" t="s">
        <v>355</v>
      </c>
      <c r="N3" s="641"/>
      <c r="O3" s="641"/>
      <c r="P3" s="642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37" t="s">
        <v>251</v>
      </c>
      <c r="E5" s="637"/>
      <c r="F5" s="637"/>
      <c r="G5" s="637"/>
      <c r="H5" s="637"/>
      <c r="I5" s="637"/>
      <c r="J5" s="637"/>
      <c r="K5" s="637"/>
      <c r="L5" s="637"/>
      <c r="M5" s="20"/>
      <c r="N5" s="20"/>
      <c r="O5" s="24" t="s">
        <v>17</v>
      </c>
      <c r="P5" s="461">
        <v>2019</v>
      </c>
      <c r="Q5" s="20"/>
      <c r="R5" s="623" t="s">
        <v>185</v>
      </c>
      <c r="S5" s="623"/>
      <c r="T5" s="623"/>
      <c r="U5" s="15"/>
    </row>
    <row r="6" spans="1:28" s="3" customFormat="1" ht="17.25" customHeight="1">
      <c r="A6" s="15"/>
      <c r="B6" s="27" t="s">
        <v>249</v>
      </c>
      <c r="C6" s="27"/>
      <c r="D6" s="637" t="s">
        <v>250</v>
      </c>
      <c r="E6" s="637"/>
      <c r="F6" s="637"/>
      <c r="G6" s="637"/>
      <c r="H6" s="637"/>
      <c r="I6" s="637"/>
      <c r="J6" s="637"/>
      <c r="K6" s="637"/>
      <c r="L6" s="637"/>
      <c r="M6" s="21"/>
      <c r="N6" s="16"/>
      <c r="O6" s="15"/>
      <c r="P6" s="15"/>
      <c r="Q6" s="13"/>
      <c r="R6" s="636">
        <f>+P4</f>
        <v>0</v>
      </c>
      <c r="S6" s="636"/>
      <c r="T6" s="636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652">
        <f>+B1</f>
        <v>0</v>
      </c>
      <c r="E8" s="652"/>
      <c r="F8" s="652"/>
      <c r="G8" s="652"/>
      <c r="H8" s="652"/>
      <c r="I8" s="652"/>
      <c r="J8" s="652"/>
      <c r="K8" s="652"/>
      <c r="L8" s="652"/>
      <c r="M8" s="441" t="s">
        <v>255</v>
      </c>
      <c r="N8" s="16"/>
      <c r="O8" s="459" t="s">
        <v>311</v>
      </c>
      <c r="P8" s="298" t="s">
        <v>50</v>
      </c>
      <c r="Q8" s="13"/>
      <c r="R8" s="624">
        <f>+P5</f>
        <v>2019</v>
      </c>
      <c r="S8" s="625"/>
      <c r="T8" s="626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627" t="s">
        <v>0</v>
      </c>
      <c r="S10" s="628"/>
      <c r="T10" s="6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31.12.2019 г.</v>
      </c>
      <c r="G11" s="405">
        <f>+P5-1</f>
        <v>2018</v>
      </c>
      <c r="H11" s="15"/>
      <c r="I11" s="109" t="str">
        <f>+O8</f>
        <v>31.12.2019 г.</v>
      </c>
      <c r="J11" s="406">
        <f>+P5-1</f>
        <v>2018</v>
      </c>
      <c r="K11" s="16"/>
      <c r="L11" s="107" t="str">
        <f>+O8</f>
        <v>31.12.2019 г.</v>
      </c>
      <c r="M11" s="407">
        <f>+P5-1</f>
        <v>2018</v>
      </c>
      <c r="N11" s="16"/>
      <c r="O11" s="362" t="str">
        <f>+O8</f>
        <v>31.12.2019 г.</v>
      </c>
      <c r="P11" s="408">
        <f>+P5-1</f>
        <v>2018</v>
      </c>
      <c r="Q11" s="360"/>
      <c r="R11" s="630" t="s">
        <v>186</v>
      </c>
      <c r="S11" s="631"/>
      <c r="T11" s="6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978777</v>
      </c>
      <c r="G15" s="237">
        <v>860693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978777</v>
      </c>
      <c r="P15" s="387">
        <f t="shared" si="0"/>
        <v>860693</v>
      </c>
      <c r="Q15" s="31"/>
      <c r="R15" s="581" t="s">
        <v>154</v>
      </c>
      <c r="S15" s="582"/>
      <c r="T15" s="583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>
        <v>908574</v>
      </c>
      <c r="G16" s="241">
        <v>858466</v>
      </c>
      <c r="H16" s="15"/>
      <c r="I16" s="242"/>
      <c r="J16" s="241"/>
      <c r="K16" s="235"/>
      <c r="L16" s="242"/>
      <c r="M16" s="241"/>
      <c r="N16" s="235"/>
      <c r="O16" s="370">
        <f t="shared" si="0"/>
        <v>908574</v>
      </c>
      <c r="P16" s="393">
        <f t="shared" si="0"/>
        <v>858466</v>
      </c>
      <c r="Q16" s="31"/>
      <c r="R16" s="617" t="s">
        <v>296</v>
      </c>
      <c r="S16" s="618"/>
      <c r="T16" s="619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20" t="s">
        <v>289</v>
      </c>
      <c r="S17" s="621"/>
      <c r="T17" s="622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64970</v>
      </c>
      <c r="G18" s="237">
        <v>71215</v>
      </c>
      <c r="H18" s="15"/>
      <c r="I18" s="238"/>
      <c r="J18" s="237"/>
      <c r="K18" s="235"/>
      <c r="L18" s="238"/>
      <c r="M18" s="237"/>
      <c r="N18" s="235"/>
      <c r="O18" s="374">
        <f t="shared" si="0"/>
        <v>64970</v>
      </c>
      <c r="P18" s="387">
        <f t="shared" si="0"/>
        <v>71215</v>
      </c>
      <c r="Q18" s="31"/>
      <c r="R18" s="581" t="s">
        <v>155</v>
      </c>
      <c r="S18" s="582"/>
      <c r="T18" s="583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>
        <v>307245</v>
      </c>
      <c r="G19" s="239">
        <v>347090</v>
      </c>
      <c r="H19" s="15"/>
      <c r="I19" s="240"/>
      <c r="J19" s="239"/>
      <c r="K19" s="235"/>
      <c r="L19" s="240"/>
      <c r="M19" s="239"/>
      <c r="N19" s="235"/>
      <c r="O19" s="369">
        <f t="shared" si="0"/>
        <v>307245</v>
      </c>
      <c r="P19" s="421">
        <f t="shared" si="0"/>
        <v>347090</v>
      </c>
      <c r="Q19" s="31"/>
      <c r="R19" s="567" t="s">
        <v>156</v>
      </c>
      <c r="S19" s="568"/>
      <c r="T19" s="569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>
        <v>503023</v>
      </c>
      <c r="G20" s="239">
        <v>1033959</v>
      </c>
      <c r="H20" s="15"/>
      <c r="I20" s="240"/>
      <c r="J20" s="239"/>
      <c r="K20" s="235"/>
      <c r="L20" s="240"/>
      <c r="M20" s="239"/>
      <c r="N20" s="235"/>
      <c r="O20" s="369">
        <f t="shared" si="0"/>
        <v>503023</v>
      </c>
      <c r="P20" s="421">
        <f>+ROUND(+G20+J20+M20,0)</f>
        <v>1033959</v>
      </c>
      <c r="Q20" s="31"/>
      <c r="R20" s="567" t="s">
        <v>157</v>
      </c>
      <c r="S20" s="568"/>
      <c r="T20" s="569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>
        <v>13471</v>
      </c>
      <c r="G21" s="239">
        <v>13104</v>
      </c>
      <c r="H21" s="15"/>
      <c r="I21" s="240"/>
      <c r="J21" s="239"/>
      <c r="K21" s="235"/>
      <c r="L21" s="240"/>
      <c r="M21" s="239"/>
      <c r="N21" s="235"/>
      <c r="O21" s="369">
        <f t="shared" si="0"/>
        <v>13471</v>
      </c>
      <c r="P21" s="421">
        <f>+ROUND(+G21+J21+M21,0)</f>
        <v>13104</v>
      </c>
      <c r="Q21" s="31"/>
      <c r="R21" s="567" t="s">
        <v>158</v>
      </c>
      <c r="S21" s="568"/>
      <c r="T21" s="569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/>
      <c r="G22" s="239"/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0</v>
      </c>
      <c r="P22" s="421">
        <f t="shared" si="0"/>
        <v>0</v>
      </c>
      <c r="Q22" s="31"/>
      <c r="R22" s="567" t="s">
        <v>159</v>
      </c>
      <c r="S22" s="568"/>
      <c r="T22" s="569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567" t="s">
        <v>160</v>
      </c>
      <c r="S23" s="568"/>
      <c r="T23" s="569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45581</v>
      </c>
      <c r="G24" s="241">
        <v>7209</v>
      </c>
      <c r="H24" s="15"/>
      <c r="I24" s="242">
        <v>-89</v>
      </c>
      <c r="J24" s="241">
        <v>-787</v>
      </c>
      <c r="K24" s="235"/>
      <c r="L24" s="242"/>
      <c r="M24" s="241"/>
      <c r="N24" s="235"/>
      <c r="O24" s="370">
        <f t="shared" si="0"/>
        <v>45492</v>
      </c>
      <c r="P24" s="393">
        <f t="shared" si="0"/>
        <v>6422</v>
      </c>
      <c r="Q24" s="31"/>
      <c r="R24" s="602" t="s">
        <v>290</v>
      </c>
      <c r="S24" s="603"/>
      <c r="T24" s="604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2821641</v>
      </c>
      <c r="G25" s="243">
        <f>+ROUND(+SUM(G15,G16,G18,G19,G20,G21,G22,G23,G24),0)</f>
        <v>3191736</v>
      </c>
      <c r="H25" s="15"/>
      <c r="I25" s="244">
        <f>+ROUND(+SUM(I15,I16,I18,I19,I20,I21,I22,I23,I24),0)</f>
        <v>-89</v>
      </c>
      <c r="J25" s="243">
        <f>+ROUND(+SUM(J15,J16,J18,J19,J20,J21,J22,J23,J24),0)</f>
        <v>-787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2821552</v>
      </c>
      <c r="P25" s="372">
        <f>+ROUND(+SUM(P15,P16,P18,P19,P20,P21,P22,P23,P24),0)</f>
        <v>3190949</v>
      </c>
      <c r="Q25" s="31"/>
      <c r="R25" s="575" t="s">
        <v>187</v>
      </c>
      <c r="S25" s="576"/>
      <c r="T25" s="57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>
        <v>113910</v>
      </c>
      <c r="G27" s="237">
        <v>73168</v>
      </c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113910</v>
      </c>
      <c r="P27" s="387">
        <f t="shared" si="1"/>
        <v>73168</v>
      </c>
      <c r="Q27" s="31"/>
      <c r="R27" s="581" t="s">
        <v>161</v>
      </c>
      <c r="S27" s="582"/>
      <c r="T27" s="58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>
        <v>99309</v>
      </c>
      <c r="G28" s="239">
        <v>30756</v>
      </c>
      <c r="H28" s="15"/>
      <c r="I28" s="240"/>
      <c r="J28" s="239"/>
      <c r="K28" s="235"/>
      <c r="L28" s="240"/>
      <c r="M28" s="239"/>
      <c r="N28" s="235"/>
      <c r="O28" s="369">
        <f t="shared" si="1"/>
        <v>99309</v>
      </c>
      <c r="P28" s="421">
        <f t="shared" si="1"/>
        <v>30756</v>
      </c>
      <c r="Q28" s="31"/>
      <c r="R28" s="567" t="s">
        <v>162</v>
      </c>
      <c r="S28" s="568"/>
      <c r="T28" s="56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02" t="s">
        <v>163</v>
      </c>
      <c r="S29" s="603"/>
      <c r="T29" s="60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213219</v>
      </c>
      <c r="G30" s="243">
        <f>+ROUND(+SUM(G27:G29),0)</f>
        <v>103924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213219</v>
      </c>
      <c r="P30" s="372">
        <f>+ROUND(+SUM(P27:P29),0)</f>
        <v>103924</v>
      </c>
      <c r="Q30" s="31"/>
      <c r="R30" s="575" t="s">
        <v>188</v>
      </c>
      <c r="S30" s="576"/>
      <c r="T30" s="57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>
        <v>-81209</v>
      </c>
      <c r="G37" s="255">
        <v>-88541</v>
      </c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-81209</v>
      </c>
      <c r="P37" s="372">
        <f t="shared" si="2"/>
        <v>-88541</v>
      </c>
      <c r="Q37" s="31"/>
      <c r="R37" s="575" t="s">
        <v>189</v>
      </c>
      <c r="S37" s="576"/>
      <c r="T37" s="57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>
        <v>-64372</v>
      </c>
      <c r="G38" s="257">
        <v>-57608</v>
      </c>
      <c r="H38" s="15"/>
      <c r="I38" s="258"/>
      <c r="J38" s="257"/>
      <c r="K38" s="235"/>
      <c r="L38" s="258"/>
      <c r="M38" s="257"/>
      <c r="N38" s="235"/>
      <c r="O38" s="384">
        <f t="shared" si="2"/>
        <v>-64372</v>
      </c>
      <c r="P38" s="422">
        <f t="shared" si="2"/>
        <v>-57608</v>
      </c>
      <c r="Q38" s="31"/>
      <c r="R38" s="608" t="s">
        <v>164</v>
      </c>
      <c r="S38" s="609"/>
      <c r="T38" s="61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>
        <v>-16837</v>
      </c>
      <c r="G39" s="259">
        <v>-30933</v>
      </c>
      <c r="H39" s="15"/>
      <c r="I39" s="260"/>
      <c r="J39" s="259"/>
      <c r="K39" s="235"/>
      <c r="L39" s="260"/>
      <c r="M39" s="259"/>
      <c r="N39" s="235"/>
      <c r="O39" s="385">
        <f t="shared" si="2"/>
        <v>-16837</v>
      </c>
      <c r="P39" s="423">
        <f t="shared" si="2"/>
        <v>-30933</v>
      </c>
      <c r="Q39" s="31"/>
      <c r="R39" s="611" t="s">
        <v>165</v>
      </c>
      <c r="S39" s="612"/>
      <c r="T39" s="61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14" t="s">
        <v>166</v>
      </c>
      <c r="S40" s="615"/>
      <c r="T40" s="61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>
        <v>556</v>
      </c>
      <c r="G42" s="255">
        <v>491</v>
      </c>
      <c r="H42" s="15"/>
      <c r="I42" s="256"/>
      <c r="J42" s="255"/>
      <c r="K42" s="235"/>
      <c r="L42" s="256"/>
      <c r="M42" s="255"/>
      <c r="N42" s="235"/>
      <c r="O42" s="371">
        <f>+ROUND(+F42+I42+L42,0)</f>
        <v>556</v>
      </c>
      <c r="P42" s="372">
        <f>+ROUND(+G42+J42+M42,0)</f>
        <v>491</v>
      </c>
      <c r="Q42" s="31"/>
      <c r="R42" s="575" t="s">
        <v>190</v>
      </c>
      <c r="S42" s="576"/>
      <c r="T42" s="57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>
        <v>897933</v>
      </c>
      <c r="J44" s="237">
        <v>96478</v>
      </c>
      <c r="K44" s="235"/>
      <c r="L44" s="238"/>
      <c r="M44" s="237"/>
      <c r="N44" s="235"/>
      <c r="O44" s="374">
        <f aca="true" t="shared" si="3" ref="O44:P47">+ROUND(+F44+I44+L44,0)</f>
        <v>897933</v>
      </c>
      <c r="P44" s="387">
        <f t="shared" si="3"/>
        <v>96478</v>
      </c>
      <c r="Q44" s="31"/>
      <c r="R44" s="581" t="s">
        <v>167</v>
      </c>
      <c r="S44" s="582"/>
      <c r="T44" s="58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567" t="s">
        <v>168</v>
      </c>
      <c r="S45" s="568"/>
      <c r="T45" s="56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567" t="s">
        <v>169</v>
      </c>
      <c r="S46" s="568"/>
      <c r="T46" s="56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>
        <v>6664</v>
      </c>
      <c r="G47" s="241">
        <v>120973</v>
      </c>
      <c r="H47" s="15"/>
      <c r="I47" s="242"/>
      <c r="J47" s="241"/>
      <c r="K47" s="235"/>
      <c r="L47" s="242"/>
      <c r="M47" s="241"/>
      <c r="N47" s="235"/>
      <c r="O47" s="370">
        <f t="shared" si="3"/>
        <v>6664</v>
      </c>
      <c r="P47" s="393">
        <f t="shared" si="3"/>
        <v>120973</v>
      </c>
      <c r="Q47" s="31"/>
      <c r="R47" s="602" t="s">
        <v>170</v>
      </c>
      <c r="S47" s="603"/>
      <c r="T47" s="60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6664</v>
      </c>
      <c r="G48" s="243">
        <f>+ROUND(+SUM(G44:G47),0)</f>
        <v>120973</v>
      </c>
      <c r="H48" s="15"/>
      <c r="I48" s="244">
        <f>+ROUND(+SUM(I44:I47),0)</f>
        <v>897933</v>
      </c>
      <c r="J48" s="243">
        <f>+ROUND(+SUM(J44:J47),0)</f>
        <v>96478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904597</v>
      </c>
      <c r="P48" s="372">
        <f>+ROUND(+SUM(P44:P47),0)</f>
        <v>217451</v>
      </c>
      <c r="Q48" s="31"/>
      <c r="R48" s="575" t="s">
        <v>191</v>
      </c>
      <c r="S48" s="576"/>
      <c r="T48" s="57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2960871</v>
      </c>
      <c r="G50" s="265">
        <f>+ROUND(G25+G30+G37+G42+G48,0)</f>
        <v>3328583</v>
      </c>
      <c r="H50" s="15"/>
      <c r="I50" s="266">
        <f>+ROUND(I25+I30+I37+I42+I48,0)</f>
        <v>897844</v>
      </c>
      <c r="J50" s="265">
        <f>+ROUND(J25+J30+J37+J42+J48,0)</f>
        <v>95691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3858715</v>
      </c>
      <c r="P50" s="389">
        <f>+ROUND(P25+P30+P37+P42+P48,0)</f>
        <v>3424274</v>
      </c>
      <c r="Q50" s="113"/>
      <c r="R50" s="605" t="s">
        <v>192</v>
      </c>
      <c r="S50" s="606"/>
      <c r="T50" s="60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2376796</v>
      </c>
      <c r="G53" s="267">
        <v>2659822</v>
      </c>
      <c r="H53" s="15"/>
      <c r="I53" s="268">
        <v>132512</v>
      </c>
      <c r="J53" s="267">
        <v>74075</v>
      </c>
      <c r="K53" s="235"/>
      <c r="L53" s="268"/>
      <c r="M53" s="267"/>
      <c r="N53" s="235"/>
      <c r="O53" s="375">
        <f aca="true" t="shared" si="4" ref="O53:P57">+ROUND(+F53+I53+L53,0)</f>
        <v>2509308</v>
      </c>
      <c r="P53" s="368">
        <f t="shared" si="4"/>
        <v>2733897</v>
      </c>
      <c r="Q53" s="31"/>
      <c r="R53" s="581" t="s">
        <v>193</v>
      </c>
      <c r="S53" s="582"/>
      <c r="T53" s="58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42727</v>
      </c>
      <c r="G54" s="241">
        <v>39200</v>
      </c>
      <c r="H54" s="15"/>
      <c r="I54" s="242"/>
      <c r="J54" s="241"/>
      <c r="K54" s="235"/>
      <c r="L54" s="242"/>
      <c r="M54" s="241"/>
      <c r="N54" s="235"/>
      <c r="O54" s="370">
        <f t="shared" si="4"/>
        <v>42727</v>
      </c>
      <c r="P54" s="393">
        <f t="shared" si="4"/>
        <v>39200</v>
      </c>
      <c r="Q54" s="31"/>
      <c r="R54" s="567" t="s">
        <v>171</v>
      </c>
      <c r="S54" s="568"/>
      <c r="T54" s="56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49396</v>
      </c>
      <c r="G55" s="241">
        <v>97147</v>
      </c>
      <c r="H55" s="15"/>
      <c r="I55" s="242"/>
      <c r="J55" s="241"/>
      <c r="K55" s="235"/>
      <c r="L55" s="242"/>
      <c r="M55" s="241"/>
      <c r="N55" s="235"/>
      <c r="O55" s="370">
        <f t="shared" si="4"/>
        <v>49396</v>
      </c>
      <c r="P55" s="393">
        <f t="shared" si="4"/>
        <v>97147</v>
      </c>
      <c r="Q55" s="31"/>
      <c r="R55" s="567" t="s">
        <v>172</v>
      </c>
      <c r="S55" s="568"/>
      <c r="T55" s="56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5975801</v>
      </c>
      <c r="G56" s="241">
        <v>4972684</v>
      </c>
      <c r="H56" s="15"/>
      <c r="I56" s="242">
        <v>565590</v>
      </c>
      <c r="J56" s="241">
        <v>301141</v>
      </c>
      <c r="K56" s="235"/>
      <c r="L56" s="242"/>
      <c r="M56" s="241"/>
      <c r="N56" s="235"/>
      <c r="O56" s="370">
        <f t="shared" si="4"/>
        <v>6541391</v>
      </c>
      <c r="P56" s="393">
        <f t="shared" si="4"/>
        <v>5273825</v>
      </c>
      <c r="Q56" s="31"/>
      <c r="R56" s="567" t="s">
        <v>173</v>
      </c>
      <c r="S56" s="568"/>
      <c r="T56" s="56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1213149</v>
      </c>
      <c r="G57" s="241">
        <v>1025092</v>
      </c>
      <c r="H57" s="15"/>
      <c r="I57" s="242">
        <v>98987</v>
      </c>
      <c r="J57" s="241">
        <v>48323</v>
      </c>
      <c r="K57" s="235"/>
      <c r="L57" s="242"/>
      <c r="M57" s="241"/>
      <c r="N57" s="235"/>
      <c r="O57" s="370">
        <f t="shared" si="4"/>
        <v>1312136</v>
      </c>
      <c r="P57" s="393">
        <f t="shared" si="4"/>
        <v>1073415</v>
      </c>
      <c r="Q57" s="31"/>
      <c r="R57" s="602" t="s">
        <v>174</v>
      </c>
      <c r="S57" s="603"/>
      <c r="T57" s="60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9657869</v>
      </c>
      <c r="G58" s="269">
        <f>+ROUND(+SUM(G53:G57),0)</f>
        <v>8793945</v>
      </c>
      <c r="H58" s="15"/>
      <c r="I58" s="270">
        <f>+ROUND(+SUM(I53:I57),0)</f>
        <v>797089</v>
      </c>
      <c r="J58" s="269">
        <f>+ROUND(+SUM(J53:J57),0)</f>
        <v>423539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10454958</v>
      </c>
      <c r="P58" s="391">
        <f>+ROUND(+SUM(P53:P57),0)</f>
        <v>9217484</v>
      </c>
      <c r="Q58" s="31"/>
      <c r="R58" s="575" t="s">
        <v>194</v>
      </c>
      <c r="S58" s="576"/>
      <c r="T58" s="57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>
        <v>360</v>
      </c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360</v>
      </c>
      <c r="Q60" s="31"/>
      <c r="R60" s="581" t="s">
        <v>175</v>
      </c>
      <c r="S60" s="582"/>
      <c r="T60" s="58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>
        <v>488688</v>
      </c>
      <c r="G61" s="241">
        <v>530190</v>
      </c>
      <c r="H61" s="15"/>
      <c r="I61" s="242">
        <v>714643</v>
      </c>
      <c r="J61" s="241">
        <v>420521</v>
      </c>
      <c r="K61" s="235"/>
      <c r="L61" s="242"/>
      <c r="M61" s="241"/>
      <c r="N61" s="235"/>
      <c r="O61" s="370">
        <f t="shared" si="5"/>
        <v>1203331</v>
      </c>
      <c r="P61" s="393">
        <f t="shared" si="5"/>
        <v>950711</v>
      </c>
      <c r="Q61" s="31"/>
      <c r="R61" s="567" t="s">
        <v>176</v>
      </c>
      <c r="S61" s="568"/>
      <c r="T61" s="56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>
        <v>8800</v>
      </c>
      <c r="G62" s="241">
        <v>13600</v>
      </c>
      <c r="H62" s="15"/>
      <c r="I62" s="242"/>
      <c r="J62" s="241"/>
      <c r="K62" s="235"/>
      <c r="L62" s="242"/>
      <c r="M62" s="241"/>
      <c r="N62" s="235"/>
      <c r="O62" s="370">
        <f t="shared" si="5"/>
        <v>8800</v>
      </c>
      <c r="P62" s="393">
        <f t="shared" si="5"/>
        <v>13600</v>
      </c>
      <c r="Q62" s="31"/>
      <c r="R62" s="567" t="s">
        <v>177</v>
      </c>
      <c r="S62" s="568"/>
      <c r="T62" s="56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02" t="s">
        <v>195</v>
      </c>
      <c r="S63" s="603"/>
      <c r="T63" s="60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497488</v>
      </c>
      <c r="G65" s="269">
        <f>+ROUND(+SUM(G60:G63),0)</f>
        <v>544150</v>
      </c>
      <c r="H65" s="15"/>
      <c r="I65" s="270">
        <f>+ROUND(+SUM(I60:I63),0)</f>
        <v>714643</v>
      </c>
      <c r="J65" s="269">
        <f>+ROUND(+SUM(J60:J63),0)</f>
        <v>420521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1212131</v>
      </c>
      <c r="P65" s="391">
        <f>+ROUND(+SUM(P60:P63),0)</f>
        <v>964671</v>
      </c>
      <c r="Q65" s="31"/>
      <c r="R65" s="575" t="s">
        <v>197</v>
      </c>
      <c r="S65" s="576"/>
      <c r="T65" s="57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>
        <v>7148</v>
      </c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7148</v>
      </c>
      <c r="P67" s="368">
        <f>+ROUND(+G67+J67+M67,0)</f>
        <v>0</v>
      </c>
      <c r="Q67" s="31"/>
      <c r="R67" s="581" t="s">
        <v>178</v>
      </c>
      <c r="S67" s="582"/>
      <c r="T67" s="58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567" t="s">
        <v>179</v>
      </c>
      <c r="S68" s="568"/>
      <c r="T68" s="56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7148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7148</v>
      </c>
      <c r="P69" s="391">
        <f>+ROUND(+SUM(P67:P68),0)</f>
        <v>0</v>
      </c>
      <c r="Q69" s="31"/>
      <c r="R69" s="575" t="s">
        <v>198</v>
      </c>
      <c r="S69" s="576"/>
      <c r="T69" s="57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69169</v>
      </c>
      <c r="G71" s="267">
        <v>58295</v>
      </c>
      <c r="H71" s="15"/>
      <c r="I71" s="268">
        <v>68110</v>
      </c>
      <c r="J71" s="267">
        <v>60176</v>
      </c>
      <c r="K71" s="235"/>
      <c r="L71" s="268"/>
      <c r="M71" s="267"/>
      <c r="N71" s="235"/>
      <c r="O71" s="375">
        <f>+ROUND(+F71+I71+L71,0)</f>
        <v>137279</v>
      </c>
      <c r="P71" s="368">
        <f>+ROUND(+G71+J71+M71,0)</f>
        <v>118471</v>
      </c>
      <c r="Q71" s="31"/>
      <c r="R71" s="581" t="s">
        <v>180</v>
      </c>
      <c r="S71" s="582"/>
      <c r="T71" s="58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567" t="s">
        <v>181</v>
      </c>
      <c r="S72" s="568"/>
      <c r="T72" s="56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69169</v>
      </c>
      <c r="G73" s="269">
        <f>+ROUND(+SUM(G71:G72),0)</f>
        <v>58295</v>
      </c>
      <c r="H73" s="15"/>
      <c r="I73" s="270">
        <f>+ROUND(+SUM(I71:I72),0)</f>
        <v>68110</v>
      </c>
      <c r="J73" s="269">
        <f>+ROUND(+SUM(J71:J72),0)</f>
        <v>60176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137279</v>
      </c>
      <c r="P73" s="391">
        <f>+ROUND(+SUM(P71:P72),0)</f>
        <v>118471</v>
      </c>
      <c r="Q73" s="31"/>
      <c r="R73" s="575" t="s">
        <v>199</v>
      </c>
      <c r="S73" s="576"/>
      <c r="T73" s="57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>
        <v>335740</v>
      </c>
      <c r="G75" s="267">
        <v>290100</v>
      </c>
      <c r="H75" s="15"/>
      <c r="I75" s="268">
        <v>33898</v>
      </c>
      <c r="J75" s="267"/>
      <c r="K75" s="235"/>
      <c r="L75" s="268"/>
      <c r="M75" s="267"/>
      <c r="N75" s="235"/>
      <c r="O75" s="375">
        <f>+ROUND(+F75+I75+L75,0)</f>
        <v>369638</v>
      </c>
      <c r="P75" s="368">
        <f>+ROUND(+G75+J75+M75,0)</f>
        <v>290100</v>
      </c>
      <c r="Q75" s="31"/>
      <c r="R75" s="581" t="s">
        <v>182</v>
      </c>
      <c r="S75" s="582"/>
      <c r="T75" s="58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>
        <v>21000</v>
      </c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21000</v>
      </c>
      <c r="Q76" s="31"/>
      <c r="R76" s="567" t="s">
        <v>200</v>
      </c>
      <c r="S76" s="568"/>
      <c r="T76" s="56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335740</v>
      </c>
      <c r="G77" s="269">
        <f>+ROUND(+SUM(G75:G76),0)</f>
        <v>311100</v>
      </c>
      <c r="H77" s="15"/>
      <c r="I77" s="270">
        <f>+ROUND(+SUM(I75:I76),0)</f>
        <v>33898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369638</v>
      </c>
      <c r="P77" s="391">
        <f>+ROUND(+SUM(P75:P76),0)</f>
        <v>311100</v>
      </c>
      <c r="Q77" s="31"/>
      <c r="R77" s="575" t="s">
        <v>201</v>
      </c>
      <c r="S77" s="576"/>
      <c r="T77" s="57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10567414</v>
      </c>
      <c r="G79" s="280">
        <f>+ROUND(G58+G65+G69+G73+G77,0)</f>
        <v>9707490</v>
      </c>
      <c r="H79" s="15"/>
      <c r="I79" s="277">
        <f>+ROUND(I58+I65+I69+I73+I77,0)</f>
        <v>1613740</v>
      </c>
      <c r="J79" s="280">
        <f>+ROUND(J58+J65+J69+J73+J77,0)</f>
        <v>904236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12181154</v>
      </c>
      <c r="P79" s="401">
        <f>+ROUND(P58+P65+P69+P73+P77,0)</f>
        <v>10611726</v>
      </c>
      <c r="Q79" s="31"/>
      <c r="R79" s="578" t="s">
        <v>202</v>
      </c>
      <c r="S79" s="579"/>
      <c r="T79" s="58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7537443</v>
      </c>
      <c r="G81" s="237">
        <v>6478763</v>
      </c>
      <c r="H81" s="15"/>
      <c r="I81" s="238">
        <v>952140</v>
      </c>
      <c r="J81" s="237">
        <v>554650</v>
      </c>
      <c r="K81" s="235"/>
      <c r="L81" s="238"/>
      <c r="M81" s="237"/>
      <c r="N81" s="235"/>
      <c r="O81" s="374">
        <f>+ROUND(+F81+I81+L81,0)</f>
        <v>8489583</v>
      </c>
      <c r="P81" s="387">
        <f>+ROUND(+G81+J81+M81,0)</f>
        <v>7033413</v>
      </c>
      <c r="Q81" s="31"/>
      <c r="R81" s="581" t="s">
        <v>183</v>
      </c>
      <c r="S81" s="582"/>
      <c r="T81" s="58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>
        <v>190288</v>
      </c>
      <c r="G82" s="241">
        <v>-115976</v>
      </c>
      <c r="H82" s="15"/>
      <c r="I82" s="242">
        <v>-190288</v>
      </c>
      <c r="J82" s="241">
        <v>115976</v>
      </c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567" t="s">
        <v>184</v>
      </c>
      <c r="S82" s="568"/>
      <c r="T82" s="56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7727731</v>
      </c>
      <c r="G83" s="278">
        <f>+ROUND(G81+G82,0)</f>
        <v>6362787</v>
      </c>
      <c r="H83" s="15"/>
      <c r="I83" s="279">
        <f>+ROUND(I81+I82,0)</f>
        <v>761852</v>
      </c>
      <c r="J83" s="278">
        <f>+ROUND(J81+J82,0)</f>
        <v>670626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8489583</v>
      </c>
      <c r="P83" s="396">
        <f>+ROUND(P81+P82,0)</f>
        <v>7033413</v>
      </c>
      <c r="Q83" s="31"/>
      <c r="R83" s="593" t="s">
        <v>203</v>
      </c>
      <c r="S83" s="594"/>
      <c r="T83" s="59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65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57"/>
      <c r="D84" s="658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121188</v>
      </c>
      <c r="G85" s="299">
        <f>+ROUND(G50,0)-ROUND(G79,0)+ROUND(G83,0)</f>
        <v>-16120</v>
      </c>
      <c r="H85" s="15"/>
      <c r="I85" s="300">
        <f>+ROUND(I50,0)-ROUND(I79,0)+ROUND(I83,0)</f>
        <v>45956</v>
      </c>
      <c r="J85" s="299">
        <f>+ROUND(J50,0)-ROUND(J79,0)+ROUND(J83,0)</f>
        <v>-137919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167144</v>
      </c>
      <c r="P85" s="398">
        <f>+ROUND(P50,0)-ROUND(P79,0)+ROUND(P83,0)</f>
        <v>-154039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-121188</v>
      </c>
      <c r="G86" s="301">
        <f>+ROUND(G103,0)+ROUND(G122,0)+ROUND(G129,0)-ROUND(G134,0)</f>
        <v>16120</v>
      </c>
      <c r="H86" s="15"/>
      <c r="I86" s="302">
        <f>+ROUND(I103,0)+ROUND(I122,0)+ROUND(I129,0)-ROUND(I134,0)</f>
        <v>-45956</v>
      </c>
      <c r="J86" s="301">
        <f>+ROUND(J103,0)+ROUND(J122,0)+ROUND(J129,0)-ROUND(J134,0)</f>
        <v>137919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-167144</v>
      </c>
      <c r="P86" s="400">
        <f>+ROUND(P103,0)+ROUND(P122,0)+ROUND(P129,0)-ROUND(P134,0)</f>
        <v>154039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81" t="s">
        <v>204</v>
      </c>
      <c r="S89" s="582"/>
      <c r="T89" s="58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567" t="s">
        <v>205</v>
      </c>
      <c r="S90" s="568"/>
      <c r="T90" s="56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575" t="s">
        <v>206</v>
      </c>
      <c r="S91" s="576"/>
      <c r="T91" s="57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>
        <v>-62000</v>
      </c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-62000</v>
      </c>
      <c r="Q93" s="31"/>
      <c r="R93" s="581" t="s">
        <v>207</v>
      </c>
      <c r="S93" s="582"/>
      <c r="T93" s="58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>
        <v>25000</v>
      </c>
      <c r="G94" s="241">
        <v>20000</v>
      </c>
      <c r="H94" s="15"/>
      <c r="I94" s="242"/>
      <c r="J94" s="241"/>
      <c r="K94" s="235"/>
      <c r="L94" s="242"/>
      <c r="M94" s="241"/>
      <c r="N94" s="235"/>
      <c r="O94" s="370">
        <f t="shared" si="6"/>
        <v>25000</v>
      </c>
      <c r="P94" s="393">
        <f t="shared" si="6"/>
        <v>20000</v>
      </c>
      <c r="Q94" s="31"/>
      <c r="R94" s="567" t="s">
        <v>208</v>
      </c>
      <c r="S94" s="568"/>
      <c r="T94" s="56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567" t="s">
        <v>209</v>
      </c>
      <c r="S95" s="568"/>
      <c r="T95" s="56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02" t="s">
        <v>210</v>
      </c>
      <c r="S96" s="603"/>
      <c r="T96" s="60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25000</v>
      </c>
      <c r="G97" s="243">
        <f>+ROUND(+SUM(G93:G96),0)</f>
        <v>-42000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25000</v>
      </c>
      <c r="P97" s="372">
        <f>+ROUND(+SUM(P93:P96),0)</f>
        <v>-42000</v>
      </c>
      <c r="Q97" s="31"/>
      <c r="R97" s="575" t="s">
        <v>211</v>
      </c>
      <c r="S97" s="576"/>
      <c r="T97" s="57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/>
      <c r="G99" s="237"/>
      <c r="H99" s="15"/>
      <c r="I99" s="238"/>
      <c r="J99" s="237"/>
      <c r="K99" s="235"/>
      <c r="L99" s="238"/>
      <c r="M99" s="237"/>
      <c r="N99" s="235"/>
      <c r="O99" s="374">
        <f>+ROUND(+F99+I99+L99,0)</f>
        <v>0</v>
      </c>
      <c r="P99" s="387">
        <f>+ROUND(+G99+J99+M99,0)</f>
        <v>0</v>
      </c>
      <c r="Q99" s="31"/>
      <c r="R99" s="581" t="s">
        <v>212</v>
      </c>
      <c r="S99" s="582"/>
      <c r="T99" s="58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>
        <v>77069</v>
      </c>
      <c r="G100" s="241">
        <v>38687</v>
      </c>
      <c r="H100" s="15"/>
      <c r="I100" s="242"/>
      <c r="J100" s="241"/>
      <c r="K100" s="235"/>
      <c r="L100" s="242"/>
      <c r="M100" s="241"/>
      <c r="N100" s="235"/>
      <c r="O100" s="370">
        <f>+ROUND(+F100+I100+L100,0)</f>
        <v>77069</v>
      </c>
      <c r="P100" s="393">
        <f>+ROUND(+G100+J100+M100,0)</f>
        <v>38687</v>
      </c>
      <c r="Q100" s="31"/>
      <c r="R100" s="567" t="s">
        <v>213</v>
      </c>
      <c r="S100" s="568"/>
      <c r="T100" s="56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77069</v>
      </c>
      <c r="G101" s="243">
        <f>+ROUND(+SUM(G99:G100),0)</f>
        <v>38687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77069</v>
      </c>
      <c r="P101" s="372">
        <f>+ROUND(+SUM(P99:P100),0)</f>
        <v>38687</v>
      </c>
      <c r="Q101" s="31"/>
      <c r="R101" s="575" t="s">
        <v>214</v>
      </c>
      <c r="S101" s="576"/>
      <c r="T101" s="57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102069</v>
      </c>
      <c r="G103" s="265">
        <f>+ROUND(G91+G97+G101,0)</f>
        <v>-3313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102069</v>
      </c>
      <c r="P103" s="389">
        <f>+ROUND(P91+P97+P101,0)</f>
        <v>-3313</v>
      </c>
      <c r="Q103" s="113"/>
      <c r="R103" s="605" t="s">
        <v>215</v>
      </c>
      <c r="S103" s="606"/>
      <c r="T103" s="607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81" t="s">
        <v>216</v>
      </c>
      <c r="S106" s="582"/>
      <c r="T106" s="58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567" t="s">
        <v>217</v>
      </c>
      <c r="S107" s="568"/>
      <c r="T107" s="56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575" t="s">
        <v>218</v>
      </c>
      <c r="S108" s="576"/>
      <c r="T108" s="57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>
        <v>793208</v>
      </c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793208</v>
      </c>
      <c r="P110" s="387">
        <f>+ROUND(+G110+J110+M110,0)</f>
        <v>0</v>
      </c>
      <c r="Q110" s="31"/>
      <c r="R110" s="587" t="s">
        <v>219</v>
      </c>
      <c r="S110" s="588"/>
      <c r="T110" s="58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>
        <v>-793208</v>
      </c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-793208</v>
      </c>
      <c r="P111" s="393">
        <f>+ROUND(+G111+J111+M111,0)</f>
        <v>0</v>
      </c>
      <c r="Q111" s="31"/>
      <c r="R111" s="590" t="s">
        <v>220</v>
      </c>
      <c r="S111" s="591"/>
      <c r="T111" s="59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575" t="s">
        <v>221</v>
      </c>
      <c r="S112" s="576"/>
      <c r="T112" s="57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81" t="s">
        <v>222</v>
      </c>
      <c r="S114" s="582"/>
      <c r="T114" s="58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567" t="s">
        <v>223</v>
      </c>
      <c r="S115" s="568"/>
      <c r="T115" s="56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575" t="s">
        <v>224</v>
      </c>
      <c r="S116" s="576"/>
      <c r="T116" s="57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>
        <v>-598</v>
      </c>
      <c r="H118" s="15"/>
      <c r="I118" s="268"/>
      <c r="J118" s="267"/>
      <c r="K118" s="235"/>
      <c r="L118" s="268">
        <v>171216</v>
      </c>
      <c r="M118" s="267">
        <v>-8516</v>
      </c>
      <c r="N118" s="235"/>
      <c r="O118" s="375">
        <f>+ROUND(+F118+I118+L118,0)</f>
        <v>171216</v>
      </c>
      <c r="P118" s="368">
        <f>+ROUND(+G118+J118+M118,0)</f>
        <v>-9114</v>
      </c>
      <c r="Q118" s="31"/>
      <c r="R118" s="581" t="s">
        <v>225</v>
      </c>
      <c r="S118" s="582"/>
      <c r="T118" s="58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567" t="s">
        <v>226</v>
      </c>
      <c r="S119" s="568"/>
      <c r="T119" s="56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-598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171216</v>
      </c>
      <c r="M120" s="269">
        <f>+ROUND(+SUM(M118:M119),0)</f>
        <v>-8516</v>
      </c>
      <c r="N120" s="235"/>
      <c r="O120" s="390">
        <f>+ROUND(+SUM(O118:O119),0)</f>
        <v>171216</v>
      </c>
      <c r="P120" s="391">
        <f>+ROUND(+SUM(P118:P119),0)</f>
        <v>-9114</v>
      </c>
      <c r="Q120" s="31"/>
      <c r="R120" s="575" t="s">
        <v>227</v>
      </c>
      <c r="S120" s="576"/>
      <c r="T120" s="57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0</v>
      </c>
      <c r="G122" s="280">
        <f>+ROUND(G108+G112+G116+G120,0)</f>
        <v>-598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171216</v>
      </c>
      <c r="M122" s="280">
        <f>+ROUND(M108+M112+M116+M120,0)</f>
        <v>-8516</v>
      </c>
      <c r="N122" s="235"/>
      <c r="O122" s="394">
        <f>+ROUND(O108+O112+O116+O120,0)</f>
        <v>171216</v>
      </c>
      <c r="P122" s="401">
        <f>+ROUND(P108+P112+P116+P120,0)</f>
        <v>-9114</v>
      </c>
      <c r="Q122" s="31"/>
      <c r="R122" s="578" t="s">
        <v>228</v>
      </c>
      <c r="S122" s="579"/>
      <c r="T122" s="58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81" t="s">
        <v>229</v>
      </c>
      <c r="S124" s="582"/>
      <c r="T124" s="58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38">
        <v>-9811</v>
      </c>
      <c r="G125" s="241">
        <v>-137919</v>
      </c>
      <c r="H125" s="15"/>
      <c r="I125" s="238">
        <v>9811</v>
      </c>
      <c r="J125" s="241">
        <v>137919</v>
      </c>
      <c r="K125" s="235"/>
      <c r="L125" s="242"/>
      <c r="M125" s="241"/>
      <c r="N125" s="235"/>
      <c r="O125" s="370">
        <f t="shared" si="7"/>
        <v>0</v>
      </c>
      <c r="P125" s="393">
        <f t="shared" si="7"/>
        <v>0</v>
      </c>
      <c r="Q125" s="31"/>
      <c r="R125" s="567" t="s">
        <v>230</v>
      </c>
      <c r="S125" s="568"/>
      <c r="T125" s="56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/>
      <c r="G126" s="241"/>
      <c r="H126" s="15"/>
      <c r="I126" s="242"/>
      <c r="J126" s="241"/>
      <c r="K126" s="235"/>
      <c r="L126" s="242"/>
      <c r="M126" s="241"/>
      <c r="N126" s="235"/>
      <c r="O126" s="370">
        <f t="shared" si="7"/>
        <v>0</v>
      </c>
      <c r="P126" s="393">
        <f t="shared" si="7"/>
        <v>0</v>
      </c>
      <c r="Q126" s="31"/>
      <c r="R126" s="596" t="s">
        <v>298</v>
      </c>
      <c r="S126" s="597"/>
      <c r="T126" s="59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564" t="s">
        <v>292</v>
      </c>
      <c r="S127" s="565"/>
      <c r="T127" s="56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599" t="s">
        <v>231</v>
      </c>
      <c r="S128" s="600"/>
      <c r="T128" s="60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-9811</v>
      </c>
      <c r="G129" s="278">
        <f>+ROUND(+SUM(G124,G125,G126,G128),0)</f>
        <v>-137919</v>
      </c>
      <c r="H129" s="15"/>
      <c r="I129" s="279">
        <f>+ROUND(+SUM(I124,I125,I126,I128),0)</f>
        <v>9811</v>
      </c>
      <c r="J129" s="278">
        <f>+ROUND(+SUM(J124,J125,J126,J128),0)</f>
        <v>137919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0</v>
      </c>
      <c r="P129" s="396">
        <f>+ROUND(+SUM(P124,P125,P126,P128),0)</f>
        <v>0</v>
      </c>
      <c r="Q129" s="31"/>
      <c r="R129" s="593" t="s">
        <v>232</v>
      </c>
      <c r="S129" s="594"/>
      <c r="T129" s="59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1410340</v>
      </c>
      <c r="G131" s="237">
        <v>1568290</v>
      </c>
      <c r="H131" s="15"/>
      <c r="I131" s="238">
        <v>2151</v>
      </c>
      <c r="J131" s="237">
        <v>2151</v>
      </c>
      <c r="K131" s="235"/>
      <c r="L131" s="238">
        <v>412420</v>
      </c>
      <c r="M131" s="237">
        <v>420936</v>
      </c>
      <c r="N131" s="235"/>
      <c r="O131" s="374">
        <f aca="true" t="shared" si="8" ref="O131:P133">+ROUND(+F131+I131+L131,0)</f>
        <v>1824911</v>
      </c>
      <c r="P131" s="387">
        <f t="shared" si="8"/>
        <v>1991377</v>
      </c>
      <c r="Q131" s="31"/>
      <c r="R131" s="581" t="s">
        <v>233</v>
      </c>
      <c r="S131" s="582"/>
      <c r="T131" s="58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567" t="s">
        <v>234</v>
      </c>
      <c r="S132" s="568"/>
      <c r="T132" s="56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1623786</v>
      </c>
      <c r="G133" s="241">
        <v>1410340</v>
      </c>
      <c r="H133" s="15"/>
      <c r="I133" s="242">
        <v>57918</v>
      </c>
      <c r="J133" s="241">
        <v>2151</v>
      </c>
      <c r="K133" s="235"/>
      <c r="L133" s="242">
        <v>583636</v>
      </c>
      <c r="M133" s="241">
        <v>412420</v>
      </c>
      <c r="N133" s="235"/>
      <c r="O133" s="370">
        <f t="shared" si="8"/>
        <v>2265340</v>
      </c>
      <c r="P133" s="393">
        <f t="shared" si="8"/>
        <v>1824911</v>
      </c>
      <c r="Q133" s="31"/>
      <c r="R133" s="584" t="s">
        <v>235</v>
      </c>
      <c r="S133" s="585"/>
      <c r="T133" s="58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213446</v>
      </c>
      <c r="G134" s="283">
        <f>+ROUND(+G133-G131-G132,0)</f>
        <v>-157950</v>
      </c>
      <c r="H134" s="15"/>
      <c r="I134" s="284">
        <f>+ROUND(+I133-I131-I132,0)</f>
        <v>55767</v>
      </c>
      <c r="J134" s="283">
        <f>+ROUND(+J133-J131-J132,0)</f>
        <v>0</v>
      </c>
      <c r="K134" s="235"/>
      <c r="L134" s="284">
        <f>+ROUND(+L133-L131-L132,0)</f>
        <v>171216</v>
      </c>
      <c r="M134" s="283">
        <f>+ROUND(+M133-M131-M132,0)</f>
        <v>-8516</v>
      </c>
      <c r="N134" s="235"/>
      <c r="O134" s="403">
        <f>+ROUND(+O133-O131-O132,0)</f>
        <v>440429</v>
      </c>
      <c r="P134" s="404">
        <f>+ROUND(+P133-P131-P132,0)</f>
        <v>-166466</v>
      </c>
      <c r="Q134" s="31"/>
      <c r="R134" s="572" t="s">
        <v>236</v>
      </c>
      <c r="S134" s="573"/>
      <c r="T134" s="57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59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59"/>
      <c r="D135" s="659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/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649"/>
      <c r="G143" s="650"/>
      <c r="H143" s="650"/>
      <c r="I143" s="651"/>
      <c r="J143" s="354"/>
      <c r="K143" s="16"/>
      <c r="L143" s="354" t="s">
        <v>240</v>
      </c>
      <c r="M143" s="649"/>
      <c r="N143" s="650"/>
      <c r="O143" s="650"/>
      <c r="P143" s="651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8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1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" sqref="I1:J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9">
        <f>+'Cash-Flow-2019-Leva'!B1:F1</f>
        <v>0</v>
      </c>
      <c r="C1" s="670"/>
      <c r="D1" s="670"/>
      <c r="E1" s="670"/>
      <c r="F1" s="671"/>
      <c r="G1" s="447" t="s">
        <v>252</v>
      </c>
      <c r="H1" s="128"/>
      <c r="I1" s="672">
        <f>+'Cash-Flow-2019-Leva'!I1:J1</f>
        <v>133933</v>
      </c>
      <c r="J1" s="673"/>
      <c r="K1" s="448"/>
      <c r="L1" s="449" t="s">
        <v>253</v>
      </c>
      <c r="M1" s="450">
        <f>+'Cash-Flow-2019-Leva'!M1</f>
        <v>5407</v>
      </c>
      <c r="N1" s="448"/>
      <c r="O1" s="449" t="s">
        <v>245</v>
      </c>
      <c r="P1" s="462" t="str">
        <f>+'Cash-Flow-2019-Leva'!P1</f>
        <v>06141/4141</v>
      </c>
      <c r="Q1" s="453"/>
      <c r="R1" s="457" t="s">
        <v>239</v>
      </c>
      <c r="S1" s="674">
        <f>+'Cash-Flow-2019-Leva'!$S$1</f>
        <v>0</v>
      </c>
      <c r="T1" s="675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76" t="s">
        <v>257</v>
      </c>
      <c r="C2" s="677"/>
      <c r="D2" s="677"/>
      <c r="E2" s="677"/>
      <c r="F2" s="678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9" t="str">
        <f>+'Cash-Flow-2019-Leva'!B3:F3</f>
        <v>[Седалище и адрес]</v>
      </c>
      <c r="C3" s="680"/>
      <c r="D3" s="680"/>
      <c r="E3" s="680"/>
      <c r="F3" s="681"/>
      <c r="G3" s="454" t="s">
        <v>244</v>
      </c>
      <c r="H3" s="682" t="str">
        <f>+'Cash-Flow-2019-Leva'!H3</f>
        <v>http://www.trambesh.eu/</v>
      </c>
      <c r="I3" s="683"/>
      <c r="J3" s="683"/>
      <c r="K3" s="684"/>
      <c r="L3" s="51" t="s">
        <v>254</v>
      </c>
      <c r="M3" s="685" t="str">
        <f>+'Cash-Flow-2019-Leva'!M3:P3</f>
        <v>obshtina_pt@abv.bg</v>
      </c>
      <c r="N3" s="686"/>
      <c r="O3" s="686"/>
      <c r="P3" s="687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61" t="s">
        <v>251</v>
      </c>
      <c r="E5" s="661"/>
      <c r="F5" s="661"/>
      <c r="G5" s="661"/>
      <c r="H5" s="661"/>
      <c r="I5" s="661"/>
      <c r="J5" s="661"/>
      <c r="K5" s="661"/>
      <c r="L5" s="661"/>
      <c r="M5" s="39"/>
      <c r="N5" s="39"/>
      <c r="O5" s="53" t="s">
        <v>17</v>
      </c>
      <c r="P5" s="460">
        <f>+'Cash-Flow-2019-Leva'!P5</f>
        <v>2019</v>
      </c>
      <c r="Q5" s="39"/>
      <c r="R5" s="660" t="s">
        <v>185</v>
      </c>
      <c r="S5" s="660"/>
      <c r="T5" s="660"/>
      <c r="U5" s="6"/>
    </row>
    <row r="6" spans="1:28" s="3" customFormat="1" ht="17.25" customHeight="1">
      <c r="A6" s="6"/>
      <c r="B6" s="52" t="s">
        <v>249</v>
      </c>
      <c r="C6" s="52"/>
      <c r="D6" s="661" t="s">
        <v>250</v>
      </c>
      <c r="E6" s="661"/>
      <c r="F6" s="661"/>
      <c r="G6" s="661"/>
      <c r="H6" s="661"/>
      <c r="I6" s="661"/>
      <c r="J6" s="661"/>
      <c r="K6" s="661"/>
      <c r="L6" s="661"/>
      <c r="M6" s="42"/>
      <c r="N6" s="5"/>
      <c r="O6" s="6"/>
      <c r="P6" s="6"/>
      <c r="Q6" s="1"/>
      <c r="R6" s="662">
        <f>+P4</f>
        <v>0</v>
      </c>
      <c r="S6" s="662"/>
      <c r="T6" s="662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63">
        <f>+B1</f>
        <v>0</v>
      </c>
      <c r="E8" s="663"/>
      <c r="F8" s="663"/>
      <c r="G8" s="663"/>
      <c r="H8" s="663"/>
      <c r="I8" s="663"/>
      <c r="J8" s="663"/>
      <c r="K8" s="663"/>
      <c r="L8" s="663"/>
      <c r="M8" s="455" t="s">
        <v>255</v>
      </c>
      <c r="N8" s="5"/>
      <c r="O8" s="458" t="str">
        <f>+'Cash-Flow-2019-Leva'!O8</f>
        <v>31.12.2019 г.</v>
      </c>
      <c r="P8" s="456" t="s">
        <v>8</v>
      </c>
      <c r="Q8" s="1"/>
      <c r="R8" s="664">
        <f>+P5</f>
        <v>2019</v>
      </c>
      <c r="S8" s="665"/>
      <c r="T8" s="666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31.12.2019 г.</v>
      </c>
      <c r="G11" s="405">
        <f>+'Cash-Flow-2019-Leva'!G11</f>
        <v>2018</v>
      </c>
      <c r="H11" s="5"/>
      <c r="I11" s="109" t="str">
        <f>+O8</f>
        <v>31.12.2019 г.</v>
      </c>
      <c r="J11" s="406">
        <f>+'Cash-Flow-2019-Leva'!J11</f>
        <v>2018</v>
      </c>
      <c r="K11" s="5"/>
      <c r="L11" s="107" t="str">
        <f>+O8</f>
        <v>31.12.2019 г.</v>
      </c>
      <c r="M11" s="407">
        <f>+'Cash-Flow-2019-Leva'!M11</f>
        <v>2018</v>
      </c>
      <c r="N11" s="475"/>
      <c r="O11" s="362" t="str">
        <f>+O8</f>
        <v>31.12.2019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978.777</v>
      </c>
      <c r="G15" s="263">
        <f>+'Cash-Flow-2019-Leva'!G15/1000</f>
        <v>860.693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978.777</v>
      </c>
      <c r="P15" s="387">
        <f aca="true" t="shared" si="1" ref="P15:P24">+G15+J15+M15</f>
        <v>860.693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908.574</v>
      </c>
      <c r="G16" s="275">
        <f>+'Cash-Flow-2019-Leva'!G16/1000</f>
        <v>858.466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908.574</v>
      </c>
      <c r="P16" s="393">
        <f t="shared" si="1"/>
        <v>858.466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64.97</v>
      </c>
      <c r="G18" s="263">
        <f>+'Cash-Flow-2019-Leva'!G18/1000</f>
        <v>71.215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64.97</v>
      </c>
      <c r="P18" s="387">
        <f t="shared" si="1"/>
        <v>71.215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307.245</v>
      </c>
      <c r="G19" s="286">
        <f>+'Cash-Flow-2019-Leva'!G19/1000</f>
        <v>347.09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307.245</v>
      </c>
      <c r="P19" s="421">
        <f t="shared" si="1"/>
        <v>347.09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503.023</v>
      </c>
      <c r="G20" s="286">
        <f>+'Cash-Flow-2019-Leva'!G20/1000</f>
        <v>1033.959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503.023</v>
      </c>
      <c r="P20" s="421">
        <f t="shared" si="1"/>
        <v>1033.959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13.471</v>
      </c>
      <c r="G21" s="286">
        <f>+'Cash-Flow-2019-Leva'!G21/1000</f>
        <v>13.104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13.471</v>
      </c>
      <c r="P21" s="421">
        <f t="shared" si="1"/>
        <v>13.104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0</v>
      </c>
      <c r="G22" s="286">
        <f>+'Cash-Flow-2019-Leva'!G22/1000</f>
        <v>0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0</v>
      </c>
      <c r="P22" s="421">
        <f t="shared" si="1"/>
        <v>0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45.581</v>
      </c>
      <c r="G24" s="275">
        <f>+'Cash-Flow-2019-Leva'!G24/1000</f>
        <v>7.209</v>
      </c>
      <c r="H24" s="285"/>
      <c r="I24" s="276">
        <f>+'Cash-Flow-2019-Leva'!I24/1000</f>
        <v>-0.089</v>
      </c>
      <c r="J24" s="275">
        <f>+'Cash-Flow-2019-Leva'!J24/1000</f>
        <v>-0.787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45.492000000000004</v>
      </c>
      <c r="P24" s="393">
        <f t="shared" si="1"/>
        <v>6.422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2821.6410000000005</v>
      </c>
      <c r="G25" s="243">
        <f>+SUM(G15,G16,G18,G19,G20,G21,G22,G23,G24)</f>
        <v>3191.7359999999994</v>
      </c>
      <c r="H25" s="285"/>
      <c r="I25" s="244">
        <f>+SUM(I15,I16,I18,I19,I20,I21,I22,I23,I24)</f>
        <v>-0.089</v>
      </c>
      <c r="J25" s="243">
        <f>+SUM(J15,J16,J18,J19,J20,J21,J22,J23,J24)</f>
        <v>-0.787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2821.5520000000006</v>
      </c>
      <c r="P25" s="372">
        <f>+SUM(P15,P16,P18,P19,P20,P21,P22,P23,P24)</f>
        <v>3190.9489999999996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113.91</v>
      </c>
      <c r="G27" s="263">
        <f>+'Cash-Flow-2019-Leva'!G27/1000</f>
        <v>73.168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113.91</v>
      </c>
      <c r="P27" s="387">
        <f t="shared" si="2"/>
        <v>73.168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99.309</v>
      </c>
      <c r="G28" s="286">
        <f>+'Cash-Flow-2019-Leva'!G28/1000</f>
        <v>30.756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99.309</v>
      </c>
      <c r="P28" s="421">
        <f t="shared" si="2"/>
        <v>30.756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213.219</v>
      </c>
      <c r="G30" s="243">
        <f>+SUM(G27:G29)</f>
        <v>103.924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213.219</v>
      </c>
      <c r="P30" s="372">
        <f>+SUM(P27:P29)</f>
        <v>103.924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-81.209</v>
      </c>
      <c r="G37" s="243">
        <f>+'Cash-Flow-2019-Leva'!G37/1000</f>
        <v>-88.541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-81.209</v>
      </c>
      <c r="P37" s="372">
        <f t="shared" si="3"/>
        <v>-88.541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-64.372</v>
      </c>
      <c r="G38" s="288">
        <f>+'Cash-Flow-2019-Leva'!G38/1000</f>
        <v>-57.608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-64.372</v>
      </c>
      <c r="P38" s="422">
        <f t="shared" si="3"/>
        <v>-57.608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-16.837</v>
      </c>
      <c r="G39" s="290">
        <f>+'Cash-Flow-2019-Leva'!G39/1000</f>
        <v>-30.933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-16.837</v>
      </c>
      <c r="P39" s="423">
        <f t="shared" si="3"/>
        <v>-30.933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0.556</v>
      </c>
      <c r="G42" s="243">
        <f>+'Cash-Flow-2019-Leva'!G42/1000</f>
        <v>0.491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0.556</v>
      </c>
      <c r="P42" s="372">
        <f>+G42+J42+M42</f>
        <v>0.491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897.933</v>
      </c>
      <c r="J44" s="263">
        <f>+'Cash-Flow-2019-Leva'!J44/1000</f>
        <v>96.478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897.933</v>
      </c>
      <c r="P44" s="387">
        <f t="shared" si="4"/>
        <v>96.478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6.664</v>
      </c>
      <c r="G47" s="275">
        <f>+'Cash-Flow-2019-Leva'!G47/1000</f>
        <v>120.973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6.664</v>
      </c>
      <c r="P47" s="393">
        <f t="shared" si="4"/>
        <v>120.973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6.664</v>
      </c>
      <c r="G48" s="243">
        <f>+SUM(G44:G47)</f>
        <v>120.973</v>
      </c>
      <c r="H48" s="285"/>
      <c r="I48" s="244">
        <f>+SUM(I44:I47)</f>
        <v>897.933</v>
      </c>
      <c r="J48" s="243">
        <f>+SUM(J44:J47)</f>
        <v>96.478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904.597</v>
      </c>
      <c r="P48" s="372">
        <f>+SUM(P44:P47)</f>
        <v>217.451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2960.871000000001</v>
      </c>
      <c r="G50" s="265">
        <f>+G25+G30+G37+G42+G48</f>
        <v>3328.582999999999</v>
      </c>
      <c r="H50" s="285"/>
      <c r="I50" s="266">
        <f>+I25+I30+I37+I42+I48</f>
        <v>897.8439999999999</v>
      </c>
      <c r="J50" s="265">
        <f>+J25+J30+J37+J42+J48</f>
        <v>95.69099999999999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3858.715000000001</v>
      </c>
      <c r="P50" s="389">
        <f>+P25+P30+P37+P42+P48</f>
        <v>3424.2739999999994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2376.796</v>
      </c>
      <c r="G53" s="236">
        <f>+'Cash-Flow-2019-Leva'!G53/1000</f>
        <v>2659.822</v>
      </c>
      <c r="H53" s="285"/>
      <c r="I53" s="246">
        <f>+'Cash-Flow-2019-Leva'!I53/1000</f>
        <v>132.512</v>
      </c>
      <c r="J53" s="236">
        <f>+'Cash-Flow-2019-Leva'!J53/1000</f>
        <v>74.075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2509.308</v>
      </c>
      <c r="P53" s="368">
        <f t="shared" si="5"/>
        <v>2733.897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42.727</v>
      </c>
      <c r="G54" s="275">
        <f>+'Cash-Flow-2019-Leva'!G54/1000</f>
        <v>39.2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42.727</v>
      </c>
      <c r="P54" s="393">
        <f t="shared" si="5"/>
        <v>39.2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49.396</v>
      </c>
      <c r="G55" s="275">
        <f>+'Cash-Flow-2019-Leva'!G55/1000</f>
        <v>97.147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49.396</v>
      </c>
      <c r="P55" s="393">
        <f t="shared" si="5"/>
        <v>97.147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5975.801</v>
      </c>
      <c r="G56" s="275">
        <f>+'Cash-Flow-2019-Leva'!G56/1000</f>
        <v>4972.684</v>
      </c>
      <c r="H56" s="285"/>
      <c r="I56" s="276">
        <f>+'Cash-Flow-2019-Leva'!I56/1000</f>
        <v>565.59</v>
      </c>
      <c r="J56" s="275">
        <f>+'Cash-Flow-2019-Leva'!J56/1000</f>
        <v>301.141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6541.3910000000005</v>
      </c>
      <c r="P56" s="393">
        <f t="shared" si="5"/>
        <v>5273.825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1213.149</v>
      </c>
      <c r="G57" s="275">
        <f>+'Cash-Flow-2019-Leva'!G57/1000</f>
        <v>1025.092</v>
      </c>
      <c r="H57" s="285"/>
      <c r="I57" s="276">
        <f>+'Cash-Flow-2019-Leva'!I57/1000</f>
        <v>98.987</v>
      </c>
      <c r="J57" s="275">
        <f>+'Cash-Flow-2019-Leva'!J57/1000</f>
        <v>48.323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1312.136</v>
      </c>
      <c r="P57" s="393">
        <f t="shared" si="5"/>
        <v>1073.4150000000002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9657.869</v>
      </c>
      <c r="G58" s="269">
        <f>+SUM(G53:G57)</f>
        <v>8793.945</v>
      </c>
      <c r="H58" s="285"/>
      <c r="I58" s="270">
        <f>+SUM(I53:I57)</f>
        <v>797.089</v>
      </c>
      <c r="J58" s="269">
        <f>+SUM(J53:J57)</f>
        <v>423.539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10454.958</v>
      </c>
      <c r="P58" s="391">
        <f>+SUM(P53:P57)</f>
        <v>9217.484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0.36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0.36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488.688</v>
      </c>
      <c r="G61" s="275">
        <f>+'Cash-Flow-2019-Leva'!G61/1000</f>
        <v>530.19</v>
      </c>
      <c r="H61" s="285"/>
      <c r="I61" s="276">
        <f>+'Cash-Flow-2019-Leva'!I61/1000</f>
        <v>714.643</v>
      </c>
      <c r="J61" s="275">
        <f>+'Cash-Flow-2019-Leva'!J61/1000</f>
        <v>420.521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1203.3310000000001</v>
      </c>
      <c r="P61" s="393">
        <f t="shared" si="6"/>
        <v>950.711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8.8</v>
      </c>
      <c r="G62" s="275">
        <f>+'Cash-Flow-2019-Leva'!G62/1000</f>
        <v>13.6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8.8</v>
      </c>
      <c r="P62" s="393">
        <f t="shared" si="6"/>
        <v>13.6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497.488</v>
      </c>
      <c r="G65" s="269">
        <f>+SUM(G60:G63)</f>
        <v>544.1500000000001</v>
      </c>
      <c r="H65" s="285"/>
      <c r="I65" s="270">
        <f>+SUM(I60:I63)</f>
        <v>714.643</v>
      </c>
      <c r="J65" s="269">
        <f>+SUM(J60:J63)</f>
        <v>420.521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1212.131</v>
      </c>
      <c r="P65" s="391">
        <f>+SUM(P60:P63)</f>
        <v>964.671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7.148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7.148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7.148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7.148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69.169</v>
      </c>
      <c r="G71" s="236">
        <f>+'Cash-Flow-2019-Leva'!G71/1000</f>
        <v>58.295</v>
      </c>
      <c r="H71" s="285"/>
      <c r="I71" s="246">
        <f>+'Cash-Flow-2019-Leva'!I71/1000</f>
        <v>68.11</v>
      </c>
      <c r="J71" s="236">
        <f>+'Cash-Flow-2019-Leva'!J71/1000</f>
        <v>60.176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137.279</v>
      </c>
      <c r="P71" s="368">
        <f>+G71+J71+M71</f>
        <v>118.471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69.169</v>
      </c>
      <c r="G73" s="269">
        <f>+SUM(G71:G72)</f>
        <v>58.295</v>
      </c>
      <c r="H73" s="285"/>
      <c r="I73" s="270">
        <f>+SUM(I71:I72)</f>
        <v>68.11</v>
      </c>
      <c r="J73" s="269">
        <f>+SUM(J71:J72)</f>
        <v>60.176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137.279</v>
      </c>
      <c r="P73" s="391">
        <f>+SUM(P71:P72)</f>
        <v>118.471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335.74</v>
      </c>
      <c r="G75" s="236">
        <f>+'Cash-Flow-2019-Leva'!G75/1000</f>
        <v>290.1</v>
      </c>
      <c r="H75" s="285"/>
      <c r="I75" s="246">
        <f>+'Cash-Flow-2019-Leva'!I75/1000</f>
        <v>33.898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369.63800000000003</v>
      </c>
      <c r="P75" s="368">
        <f>+G75+J75+M75</f>
        <v>290.1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21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21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335.74</v>
      </c>
      <c r="G77" s="269">
        <f>+SUM(G75:G76)</f>
        <v>311.1</v>
      </c>
      <c r="H77" s="285"/>
      <c r="I77" s="270">
        <f>+SUM(I75:I76)</f>
        <v>33.898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369.63800000000003</v>
      </c>
      <c r="P77" s="391">
        <f>+SUM(P75:P76)</f>
        <v>311.1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10567.413999999999</v>
      </c>
      <c r="G79" s="280">
        <f>+G58+G65+G69+G73+G77</f>
        <v>9707.49</v>
      </c>
      <c r="H79" s="285"/>
      <c r="I79" s="277">
        <f>+I58+I65+I69+I73+I77</f>
        <v>1613.7399999999998</v>
      </c>
      <c r="J79" s="280">
        <f>+J58+J65+J69+J73+J77</f>
        <v>904.236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12181.154</v>
      </c>
      <c r="P79" s="401">
        <f>+P58+P65+P69+P73+P77</f>
        <v>10611.726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7537.443</v>
      </c>
      <c r="G81" s="263">
        <f>+'Cash-Flow-2019-Leva'!G81/1000</f>
        <v>6478.763</v>
      </c>
      <c r="H81" s="285"/>
      <c r="I81" s="264">
        <f>+'Cash-Flow-2019-Leva'!I81/1000</f>
        <v>952.14</v>
      </c>
      <c r="J81" s="263">
        <f>+'Cash-Flow-2019-Leva'!J81/1000</f>
        <v>554.65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8489.583</v>
      </c>
      <c r="P81" s="387">
        <f>+G81+J81+M81</f>
        <v>7033.413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190.288</v>
      </c>
      <c r="G82" s="275">
        <f>+'Cash-Flow-2019-Leva'!G82/1000</f>
        <v>-115.976</v>
      </c>
      <c r="H82" s="285"/>
      <c r="I82" s="276">
        <f>+'Cash-Flow-2019-Leva'!I82/1000</f>
        <v>-190.288</v>
      </c>
      <c r="J82" s="275">
        <f>+'Cash-Flow-2019-Leva'!J82/1000</f>
        <v>115.976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7727.731</v>
      </c>
      <c r="G83" s="278">
        <f>+G81+G82</f>
        <v>6362.787</v>
      </c>
      <c r="H83" s="285"/>
      <c r="I83" s="279">
        <f>+I81+I82</f>
        <v>761.852</v>
      </c>
      <c r="J83" s="278">
        <f>+J81+J82</f>
        <v>670.626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8489.583</v>
      </c>
      <c r="P83" s="396">
        <f>+P81+P82</f>
        <v>7033.413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6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68"/>
      <c r="D84" s="668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121.18800000000192</v>
      </c>
      <c r="G85" s="299">
        <f>+G50-G79+G83</f>
        <v>-16.1200000000008</v>
      </c>
      <c r="H85" s="285"/>
      <c r="I85" s="300">
        <f>+I50-I79+I83</f>
        <v>45.95600000000013</v>
      </c>
      <c r="J85" s="299">
        <f>+J50-J79+J83</f>
        <v>-137.91899999999998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167.14400000000205</v>
      </c>
      <c r="P85" s="398">
        <f>+P50-P79+P83</f>
        <v>-154.03900000000158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-121.18800000000013</v>
      </c>
      <c r="G86" s="301">
        <f>+G103+G122+G129-G134</f>
        <v>16.120000000000033</v>
      </c>
      <c r="H86" s="285"/>
      <c r="I86" s="302">
        <f>+I103+I122+I129-I134</f>
        <v>-45.955999999999996</v>
      </c>
      <c r="J86" s="301">
        <f>+J103+J122+J129-J134</f>
        <v>137.919</v>
      </c>
      <c r="K86" s="285"/>
      <c r="L86" s="302">
        <f>+L103+L122+L129-L134</f>
        <v>0</v>
      </c>
      <c r="M86" s="301">
        <f>+M103+M122+M129-M134</f>
        <v>-3.730349362740526E-14</v>
      </c>
      <c r="N86" s="476"/>
      <c r="O86" s="399">
        <f>+O103+O122+O129-O134</f>
        <v>-167.14400000000006</v>
      </c>
      <c r="P86" s="400">
        <f>+P103+P122+P129-P134</f>
        <v>154.0389999999999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-62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-62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25</v>
      </c>
      <c r="G94" s="275">
        <f>+'Cash-Flow-2019-Leva'!G94/1000</f>
        <v>20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25</v>
      </c>
      <c r="P94" s="393">
        <f t="shared" si="7"/>
        <v>20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25</v>
      </c>
      <c r="G97" s="243">
        <f>+SUM(G93:G96)</f>
        <v>-42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25</v>
      </c>
      <c r="P97" s="372">
        <f>+SUM(P93:P96)</f>
        <v>-42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0</v>
      </c>
      <c r="G99" s="263">
        <f>+'Cash-Flow-2019-Leva'!G99/1000</f>
        <v>0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0</v>
      </c>
      <c r="P99" s="387">
        <f>+G99+J99+M99</f>
        <v>0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77.069</v>
      </c>
      <c r="G100" s="275">
        <f>+'Cash-Flow-2019-Leva'!G100/1000</f>
        <v>38.687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77.069</v>
      </c>
      <c r="P100" s="393">
        <f>+G100+J100+M100</f>
        <v>38.687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77.069</v>
      </c>
      <c r="G101" s="243">
        <f>+SUM(G99:G100)</f>
        <v>38.687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77.069</v>
      </c>
      <c r="P101" s="372">
        <f>+SUM(P99:P100)</f>
        <v>38.687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102.069</v>
      </c>
      <c r="G103" s="265">
        <f>+G91+G97+G101</f>
        <v>-3.3130000000000024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102.069</v>
      </c>
      <c r="P103" s="389">
        <f>+P91+P97+P101</f>
        <v>-3.3130000000000024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793.208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793.208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-793.208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-793.208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-0.598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171.216</v>
      </c>
      <c r="M118" s="236">
        <f>+'Cash-Flow-2019-Leva'!M118/1000</f>
        <v>-8.516</v>
      </c>
      <c r="N118" s="476"/>
      <c r="O118" s="375">
        <f>+F118+I118+L118</f>
        <v>171.216</v>
      </c>
      <c r="P118" s="368">
        <f>+G118+J118+M118</f>
        <v>-9.114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-0.598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171.216</v>
      </c>
      <c r="M120" s="269">
        <f>+SUM(M118:M119)</f>
        <v>-8.516</v>
      </c>
      <c r="N120" s="476"/>
      <c r="O120" s="390">
        <f>+SUM(O118:O119)</f>
        <v>171.216</v>
      </c>
      <c r="P120" s="391">
        <f>+SUM(P118:P119)</f>
        <v>-9.114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0</v>
      </c>
      <c r="G122" s="280">
        <f>+G108+G112+G116+G120</f>
        <v>-0.598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171.216</v>
      </c>
      <c r="M122" s="280">
        <f>+M108+M112+M116+M120</f>
        <v>-8.516</v>
      </c>
      <c r="N122" s="476"/>
      <c r="O122" s="394">
        <f>+O108+O112+O116+O120</f>
        <v>171.216</v>
      </c>
      <c r="P122" s="401">
        <f>+P108+P112+P116+P120</f>
        <v>-9.114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-9.811</v>
      </c>
      <c r="G125" s="275">
        <f>+'Cash-Flow-2019-Leva'!G125/1000</f>
        <v>-137.919</v>
      </c>
      <c r="H125" s="285"/>
      <c r="I125" s="276">
        <f>+'Cash-Flow-2019-Leva'!I125/1000</f>
        <v>9.811</v>
      </c>
      <c r="J125" s="275">
        <f>+'Cash-Flow-2019-Leva'!J125/1000</f>
        <v>137.919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0</v>
      </c>
      <c r="P125" s="393">
        <f t="shared" si="8"/>
        <v>0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0</v>
      </c>
      <c r="G126" s="275">
        <f>+'Cash-Flow-2019-Leva'!G126/1000</f>
        <v>0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0</v>
      </c>
      <c r="P126" s="393">
        <f t="shared" si="8"/>
        <v>0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-9.811</v>
      </c>
      <c r="G129" s="278">
        <f>+SUM(G124,G125,G126,G128)</f>
        <v>-137.919</v>
      </c>
      <c r="H129" s="285"/>
      <c r="I129" s="279">
        <f>+SUM(I124,I125,I126,I128)</f>
        <v>9.811</v>
      </c>
      <c r="J129" s="278">
        <f>+SUM(J124,J125,J126,J128)</f>
        <v>137.919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0</v>
      </c>
      <c r="P129" s="396">
        <f>+SUM(P124,P125,P126,P128)</f>
        <v>0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1410.34</v>
      </c>
      <c r="G131" s="263">
        <f>+'Cash-Flow-2019-Leva'!G131/1000</f>
        <v>1568.29</v>
      </c>
      <c r="H131" s="285"/>
      <c r="I131" s="264">
        <f>+'Cash-Flow-2019-Leva'!I131/1000</f>
        <v>2.151</v>
      </c>
      <c r="J131" s="263">
        <f>+'Cash-Flow-2019-Leva'!J131/1000</f>
        <v>2.151</v>
      </c>
      <c r="K131" s="285"/>
      <c r="L131" s="264">
        <f>+'Cash-Flow-2019-Leva'!L131/1000</f>
        <v>412.42</v>
      </c>
      <c r="M131" s="263">
        <f>+'Cash-Flow-2019-Leva'!M131/1000</f>
        <v>420.936</v>
      </c>
      <c r="N131" s="476"/>
      <c r="O131" s="374">
        <f aca="true" t="shared" si="9" ref="O131:P133">+F131+I131+L131</f>
        <v>1824.911</v>
      </c>
      <c r="P131" s="387">
        <f t="shared" si="9"/>
        <v>1991.377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1623.786</v>
      </c>
      <c r="G133" s="275">
        <f>+'Cash-Flow-2019-Leva'!G133/1000</f>
        <v>1410.34</v>
      </c>
      <c r="H133" s="285"/>
      <c r="I133" s="276">
        <f>+'Cash-Flow-2019-Leva'!I133/1000</f>
        <v>57.918</v>
      </c>
      <c r="J133" s="275">
        <f>+'Cash-Flow-2019-Leva'!J133/1000</f>
        <v>2.151</v>
      </c>
      <c r="K133" s="285"/>
      <c r="L133" s="276">
        <f>+'Cash-Flow-2019-Leva'!L133/1000</f>
        <v>583.636</v>
      </c>
      <c r="M133" s="275">
        <f>+'Cash-Flow-2019-Leva'!M133/1000</f>
        <v>412.42</v>
      </c>
      <c r="N133" s="476"/>
      <c r="O133" s="370">
        <f t="shared" si="9"/>
        <v>2265.34</v>
      </c>
      <c r="P133" s="393">
        <f t="shared" si="9"/>
        <v>1824.911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213.44600000000014</v>
      </c>
      <c r="G134" s="283">
        <f>+G133-G131-G132</f>
        <v>-157.95000000000005</v>
      </c>
      <c r="H134" s="285"/>
      <c r="I134" s="284">
        <f>+I133-I131-I132</f>
        <v>55.766999999999996</v>
      </c>
      <c r="J134" s="283">
        <f>+J133-J131-J132</f>
        <v>0</v>
      </c>
      <c r="K134" s="285"/>
      <c r="L134" s="284">
        <f>+L133-L131-L132</f>
        <v>171.21599999999995</v>
      </c>
      <c r="M134" s="283">
        <f>+M133-M131-M132</f>
        <v>-8.515999999999963</v>
      </c>
      <c r="N134" s="476"/>
      <c r="O134" s="403">
        <f>+O133-O131-O132</f>
        <v>440.4290000000001</v>
      </c>
      <c r="P134" s="404">
        <f>+P133-P131-P132</f>
        <v>-166.4659999999999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6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67"/>
      <c r="D135" s="667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0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user7657657</cp:lastModifiedBy>
  <cp:lastPrinted>2020-02-13T11:33:46Z</cp:lastPrinted>
  <dcterms:created xsi:type="dcterms:W3CDTF">2015-12-01T07:17:04Z</dcterms:created>
  <dcterms:modified xsi:type="dcterms:W3CDTF">2020-02-13T11:35:38Z</dcterms:modified>
  <cp:category/>
  <cp:version/>
  <cp:contentType/>
  <cp:contentStatus/>
</cp:coreProperties>
</file>